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<sst xmlns="http://schemas.openxmlformats.org/spreadsheetml/2006/main" count="763" uniqueCount="508">
  <si>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</si>
  <si>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</si>
  <si>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</si>
  <si>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</si>
  <si>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</si>
  <si>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</si>
  <si>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</si>
  <si>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</si>
  <si>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</si>
  <si>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</si>
  <si>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</si>
  <si>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</si>
  <si>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</si>
  <si>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</si>
  <si>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</si>
  <si>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</si>
  <si>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</si>
  <si>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</si>
  <si>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</si>
  <si>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</si>
  <si>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</si>
  <si>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</si>
  <si>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</si>
  <si>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2-01
0119-03</t>
  </si>
  <si>
    <t>szt.</t>
  </si>
  <si>
    <t>kalk. własna</t>
  </si>
  <si>
    <t>KNR 2-31
1406-04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</si>
  <si>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</si>
  <si>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</si>
  <si>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KNR 2-01
0317-0202</t>
  </si>
  <si>
    <t>KNR 2-01
0320-0202</t>
  </si>
  <si>
    <t>KNR 2-01
0230-01</t>
  </si>
  <si>
    <t>KNR-W 2-18
0408-06</t>
  </si>
  <si>
    <t>KNR-W 2-18
0408-03</t>
  </si>
  <si>
    <t>KNR-W 2-18
0513-08</t>
  </si>
  <si>
    <t>stud.</t>
  </si>
  <si>
    <t>wycena indywidualna</t>
  </si>
  <si>
    <t>KNR-W 2-18
0704-06</t>
  </si>
  <si>
    <t>200m -
1 prób.</t>
  </si>
  <si>
    <t>1. ROBOTY KANALIZACYJNE</t>
  </si>
  <si>
    <t>1
d.1.1</t>
  </si>
  <si>
    <t>14
d.1.2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</si>
  <si>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</si>
  <si>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</si>
  <si>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</si>
  <si>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</si>
  <si>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</si>
  <si>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</si>
  <si>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</si>
  <si>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</si>
  <si>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10
d.1.1</t>
  </si>
  <si>
    <t>11
d.1.1</t>
  </si>
  <si>
    <t>15
d.1.2</t>
  </si>
  <si>
    <t>16
d.1.2</t>
  </si>
  <si>
    <t>17
d.1.2</t>
  </si>
  <si>
    <t>18
d.1.2</t>
  </si>
  <si>
    <t>19
d.1.2</t>
  </si>
  <si>
    <t>20
d.1.2</t>
  </si>
  <si>
    <t>21
d.1.2</t>
  </si>
  <si>
    <t>22
d.1.2</t>
  </si>
  <si>
    <t>23
d.1.2</t>
  </si>
  <si>
    <t>2. ROBOTY DROGOWE</t>
  </si>
  <si>
    <t>2.1. ROBOTY PRZYGOTOWAWCZE</t>
  </si>
  <si>
    <t>26
d.2.1</t>
  </si>
  <si>
    <t>27
d.2.1</t>
  </si>
  <si>
    <t>28
d.2.1</t>
  </si>
  <si>
    <t>29
d.2.1</t>
  </si>
  <si>
    <t>30
d.2.1</t>
  </si>
  <si>
    <t>31
d.2.1</t>
  </si>
  <si>
    <t>34
d.2.1</t>
  </si>
  <si>
    <t>35
d.2.1</t>
  </si>
  <si>
    <t>36
d.2.1</t>
  </si>
  <si>
    <t>38
d.2.1</t>
  </si>
  <si>
    <t>39
d.2.1</t>
  </si>
  <si>
    <t>40
d.2.1</t>
  </si>
  <si>
    <t>41
d.2.1</t>
  </si>
  <si>
    <t>2.2. ROBOTY ZIEMNE</t>
  </si>
  <si>
    <t>46
d.2.2</t>
  </si>
  <si>
    <t>47
d.2.2</t>
  </si>
  <si>
    <t>48
d.2.2</t>
  </si>
  <si>
    <t>49
d.2.2</t>
  </si>
  <si>
    <t>2.3. ODWODNIENIE I ELEMENTY ZABEZPIECZAJĄCE</t>
  </si>
  <si>
    <t>2.4. PODBUDOWY</t>
  </si>
  <si>
    <t>2.5. NAWIERZCHNIE</t>
  </si>
  <si>
    <t>2.6. ELEMENTY ULIC</t>
  </si>
  <si>
    <t>2.7. HUMUSOWANIE I ROBOTY WYKOŃCZENIOWE</t>
  </si>
  <si>
    <t>13
d.1.2</t>
  </si>
  <si>
    <t>KNR 2-28
0501-06</t>
  </si>
  <si>
    <t>KNR 2-28
0501-04</t>
  </si>
  <si>
    <t>KNR 2-28
0501-09</t>
  </si>
  <si>
    <t>KNR-W 2-18
0513-03</t>
  </si>
  <si>
    <t>KNR-W 2-18
0513-04</t>
  </si>
  <si>
    <t>[0.5 m]
stud.</t>
  </si>
  <si>
    <t>1.2. ROBOTY MONTAŻOWE</t>
  </si>
  <si>
    <t>1.1. ROBOTY ZIEMNE</t>
  </si>
  <si>
    <t>66
d.2.5</t>
  </si>
  <si>
    <t>67
d.2.5</t>
  </si>
  <si>
    <t>2.8. OZNAKOWANIE NA CZAS ROBÓT</t>
  </si>
  <si>
    <t>56
d.2.4</t>
  </si>
  <si>
    <t>57
d.2.4</t>
  </si>
  <si>
    <t>64
d.2.5</t>
  </si>
  <si>
    <t>65
d.2.5</t>
  </si>
  <si>
    <t>Przebudowa ul. Bartniczej w Radostowicach</t>
  </si>
  <si>
    <t>KNR 2-01
0119-03
analogia</t>
  </si>
  <si>
    <t>KNR 2-01
0206-04</t>
  </si>
  <si>
    <t>KNR 2-01
0206-05</t>
  </si>
  <si>
    <t>KNR 2-01
0317-0802</t>
  </si>
  <si>
    <t>KNR 2-01
0322-07</t>
  </si>
  <si>
    <t>KNR 4-01
0108-07</t>
  </si>
  <si>
    <t>KNR-W 2-18
0408-01
analogia</t>
  </si>
  <si>
    <t>KNR 2-01
0126-01</t>
  </si>
  <si>
    <t>Usuniecie warstwy ziemi urodzajnej (humusu) o grubosci do 15 cm za pomoca spycharek 
Zdjecie humusu o grubosci 10cm
Krotnosc = 0.67
70.00</t>
  </si>
  <si>
    <t>KNR 2-31
0813-03</t>
  </si>
  <si>
    <t>KNNR 6
0806-08</t>
  </si>
  <si>
    <t>KNR 2-31
0812-03</t>
  </si>
  <si>
    <t>KNR 4-01
0108-06</t>
  </si>
  <si>
    <t>KNR 4-01
0108-08</t>
  </si>
  <si>
    <t>KNR 2-31
0113-01</t>
  </si>
  <si>
    <t>KNR 2-31
0114-07</t>
  </si>
  <si>
    <t>KNR 2-31
0114-08</t>
  </si>
  <si>
    <t>KNR 2-31
0511-03</t>
  </si>
  <si>
    <t>KNR 2-31
0402-04</t>
  </si>
  <si>
    <t>KNR 2-31
0407-05</t>
  </si>
  <si>
    <t>Opracowanie, zatwierdzenie, wprowadzenie i utrzymanie organizacji ruchu na czas robót
1.0</t>
  </si>
  <si>
    <t>KNR 2-01
0510-02
analogia</t>
  </si>
  <si>
    <t>KNR 2-01
0510-01
analogia</t>
  </si>
  <si>
    <t>KNR 2-31
0403-03</t>
  </si>
  <si>
    <t>KNR 2-31
0310-06</t>
  </si>
  <si>
    <t>KNR 2-31
0310-05</t>
  </si>
  <si>
    <t>KNR 2-31
1004-07</t>
  </si>
  <si>
    <t>KNR 2-31
1004-06</t>
  </si>
  <si>
    <t>KNR 2-31
0310-02</t>
  </si>
  <si>
    <t>KNR 2-31
0310-01</t>
  </si>
  <si>
    <t>KNR 2-31
1004-04</t>
  </si>
  <si>
    <t>KNR 2-31
0103-04</t>
  </si>
  <si>
    <t>KNR 2-31
0101-02</t>
  </si>
  <si>
    <t>KNR 2-31
0101-01</t>
  </si>
  <si>
    <t>kalk. Własna</t>
  </si>
  <si>
    <t>KNR 4-04
1103-05</t>
  </si>
  <si>
    <t>KNR 4-04
1103-04</t>
  </si>
  <si>
    <t>KNR 4-04
1103-01</t>
  </si>
  <si>
    <t>KNR 2-31
0802-08</t>
  </si>
  <si>
    <t>KNR 2-31
0802-07</t>
  </si>
  <si>
    <t>KNR 2-31
0803-04</t>
  </si>
  <si>
    <t>KNR 2-31
0803-03</t>
  </si>
  <si>
    <t>KNR AT-03
0101-02</t>
  </si>
  <si>
    <t>12
d.1.1</t>
  </si>
  <si>
    <t>24
d.2.1</t>
  </si>
  <si>
    <t>25
d.2.1</t>
  </si>
  <si>
    <t>42
d.2.1</t>
  </si>
  <si>
    <t>55
d.2.4</t>
  </si>
  <si>
    <t>KNR 2-31 0114-05</t>
  </si>
  <si>
    <t>KNR 2-31 0114-06</t>
  </si>
  <si>
    <t>KNR 4-01 0108-08</t>
  </si>
  <si>
    <t>KNR 2-18 0625-02</t>
  </si>
  <si>
    <t>KNR 4-01 0108-11</t>
  </si>
  <si>
    <t>KNR 4-01 0108-12</t>
  </si>
  <si>
    <t>KNR 2-31
1103-02</t>
  </si>
  <si>
    <t>Roboty pomiarowe przy liniowych robotach ziemnych
0.240</t>
  </si>
  <si>
    <t>Roboty pomiarowe przy liniowych robotach ziemnych -pomiar powykonawczy z naniesieniem na zasoby mapowe
0.240</t>
  </si>
  <si>
    <t>Wykopy kontrolne celem dokładnej lokalizacji uzbrojenia
10.0</t>
  </si>
  <si>
    <t>Zasypywanie wykopów liniowych o ścianach pionowych w gruntach kat.III-IV;  głębokość do 1.5 m, szerokość 1.6-2.5 m
10.0</t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</si>
  <si>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transp. urobku samochod. samowyładowczymi na odległosc do 1 km, 40% wykopów
128.776</t>
    </r>
  </si>
  <si>
    <r>
      <t>Roboty ziemne wykon.koparkami podsiebiernymi o poj. łyżki 0.60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 kat. IV z transp. urobku samochod. samowyładowczymi na odległosc do 1 km, 40% wykopów
128.776</t>
    </r>
  </si>
  <si>
    <t>Wykopy liniowe o scianach pionowych pod fundamenty, rurociagi, kolektory w gruntach suchych kat.III-IV z wydobyciem urobku łopata lub wyciagiem recznym;
głebokosc do 6.0 m, szerokosc 1.6-2.5 m, 20% wykopów
64.388</t>
  </si>
  <si>
    <t>Ażurowe umocnienie pionowych scian wykopów liniowych o głebok. do 3.0 m wypraskami w grunt.suchych kat.III-IV wraz z rozbiór.(szer.do 1m)
681.0</t>
  </si>
  <si>
    <t>Zasypywanie wykopów spycharkami z przemieszczeniem gruntu na odl. do 10 m w gruncie kat. I-III zasypanie wykopów 
58.120</t>
  </si>
  <si>
    <t>Wywóz ziemi samochodami samowyładowczymi na odległosc do 1 km grunt kat. IV odwóz nadmiaru ziemi z wykopu
263.820</t>
  </si>
  <si>
    <r>
      <t xml:space="preserve">Wywóz ziemi samochodami samowyładowczymi - za każdy nast. 1 km, odwóz nadmiaru ziemi z wykopu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263.820</t>
    </r>
  </si>
  <si>
    <t>Utylizacja wywiezionego gruntu z wykopu po stronie wykonawcy
263.820</t>
  </si>
  <si>
    <t>Podłoża z kruszyw naturalnych grubości 20 cm - podsypka - docelowa grubość 30cm
175.650</t>
  </si>
  <si>
    <t>Podłoża z kruszyw naturalnych grubości 10 cm - podsypka
175.650</t>
  </si>
  <si>
    <t>Obsypka i zasypka rurociągu kruszywem dowiezionym
88.522</t>
  </si>
  <si>
    <t>Kanały z rur PVC łączonych na wcisk o śr. zewn. 400 mm Projektowany Kanał deszczowy PCV U SN 12 400mm
196.00</t>
  </si>
  <si>
    <t>Kanały z rur PVC łączonych na wcisk o śr. zewn. 200 mm - przykanaliki
5.50</t>
  </si>
  <si>
    <t>Studnie rewizyjne z kręgów betonowych w gotowym wykopie - podstawa studni betonowa
2.80</t>
  </si>
  <si>
    <t>Studnie rewizyjne z kręgów betonowych o śr. 1200 mm w gotowym wykopie o głębok. 3m
5.0</t>
  </si>
  <si>
    <t>Studnie rewizyjne z kręgów betonowych o śr. 1200 mm w gotowym wykopie za każde 0.5 m różnicy głębokości
Krotność = -1
10.0</t>
  </si>
  <si>
    <t>Studzienki ściekowe uliczne betonowe o śr.500 mm z osadnikiem bez syfonu
5.0</t>
  </si>
  <si>
    <t>Przegląd kamerą kanału
196.0</t>
  </si>
  <si>
    <t>Próba wodna szczelności sieci wodociągowych z rur typu HOBAS, PVC, PE, PEHD o śr. nominalnej 400-450 mm
1.0</t>
  </si>
  <si>
    <t>Roboty pomiarowe przy liniowych robotach ziemnych - trasa drogi w terenie równinnym- tyczenie trasy i punktów wysokościowych
0.227</t>
  </si>
  <si>
    <t>Roboty pomiarowe przy liniowych robotach ziemnych - trasa drogi w terenie równinnym- pomiar powykonawczy z naniesieniem na zasoby mapowe
0.227</t>
  </si>
  <si>
    <t>Roboty remontowe - cięcie piłą nawierzchni bitumicznych na gł. 6-10 cm
8.0</t>
  </si>
  <si>
    <t>Mechaniczne rozebranie nawierzchni z mieszanek mineralno-bitumicznych o grubości 3 cm- całkowita grubość nawierzchni do rozebrania 8 cm.
794.50</t>
  </si>
  <si>
    <t>Mechaniczne rozebranie nawierzchni z mieszanek mineralno-bitumicznych - dalszy 1 cm grubości
Krotność = 5
794.50</t>
  </si>
  <si>
    <t>Mechaniczne rozebranie podbudowy z kruszywa kamiennego o grubości 15cm
794.50</t>
  </si>
  <si>
    <t>Mechaniczne rozebranie podbudowy z kruszywa kamiennego - dalszy 1 cm grubości
Krotność = 17
794.50</t>
  </si>
  <si>
    <t>Rozebranie krawężników betonowych 15x30 cm na podsypce cem.piaskowej
26.0</t>
  </si>
  <si>
    <t>Rozebranie obrzeży trawnikowych o wymiarach 8x30 cm na podsypce piaskowej
6.0</t>
  </si>
  <si>
    <t>Rozebranie ław pod krawężniki i obrzeża z betonu
1.80</t>
  </si>
  <si>
    <t>Gruz betonowy i kamienny: Załadowanie gruzu koparko-ładowarką przy obsłudze na zmianę roboczą przez 3 samochody samowyładowcze
241.464</t>
  </si>
  <si>
    <t>Wywiezienie gruzu z terenu rozbiórki przy mechanicznym załadowaniu i wyładowaniu samochodem samowyładowczym na odległość 1 km - gruz betonowy i kamienny
241.464</t>
  </si>
  <si>
    <r>
      <t xml:space="preserve">Wywiezienie gruzu z terenu rozbiórki przy mechanicznym załadowaniu i wyładowaniu samochodem samowyładowczym - gruz betonowy i kamienny - dodatek za każdy następny rozpoczęty 1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241.464</t>
    </r>
  </si>
  <si>
    <t>Utylizacja gruzu na wysypisku
241.464</t>
  </si>
  <si>
    <t>Gruz bitumiczny. Załadowanie gruzu koparko-ładowarką przy obsłudze na zmianę roboczą przez 3 samochody samowyładowcze
63.560</t>
  </si>
  <si>
    <t>Wywiezienie gruzu z terenu rozbiórki przy mechanicznym załadowaniu i wyładowaniu samochodem samowyładowczym na odległość 1 km - gruz bitumiczny
63.560</t>
  </si>
  <si>
    <r>
      <t xml:space="preserve">Wywiezienie gruzu z terenu rozbiórki przy mechanicznym załadowaniu i wyładowaniu samochodem samowyładowczym  - gruz bitumiczny - dodatek za każdy następny rozpoczęty 1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63.560</t>
    </r>
  </si>
  <si>
    <t>Utylizacja gruzu bitumicznego na wysypisku
63.560</t>
  </si>
  <si>
    <t>Mechaniczne wykonanie koryta na całej szerokości jezdni i chodników w gruncie kat. I-IV głębokości 20 cm. gł. pod jezdnię i zjazdy
272.40</t>
  </si>
  <si>
    <t>Mechaniczne wykonanie koryta na całej szerokości jezdni i chodników w gruncie kat. I-IV głębokości 20 cm. gł. pod jezdnię i zjazdy
1066.90</t>
  </si>
  <si>
    <t>Mechaniczne wykonanie koryta na całej szerokości jezdni i chodników w gruncie kat. I-IV - za każde dalsze 5 cm głębokości - zmniejszenie o 7 cm korytowania pod jezdnię i zjazdy
Krotność = -1,40
1066.90</t>
  </si>
  <si>
    <t>Mechaniczne wykonanie koryta na całej szerokości jezdni i chodników w gruncie kat. I-IV - za każde dalsze 5 cm głębokości - dalsze 18 cm korytowania pod jezdnię i zjazdy
Krotność = 3,60
272.40</t>
  </si>
  <si>
    <r>
      <t>Wywóz ziemi samochodami samowyładowczymi na odległość do 1 km grunt.kat. III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242.209</t>
    </r>
  </si>
  <si>
    <r>
      <t xml:space="preserve">Wywóz ziemi samochodami samowyładowczymi - za każdy nast. 1 km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242.209</t>
    </r>
  </si>
  <si>
    <t>Utylizacja ziemi na wysypisku
242.209</t>
  </si>
  <si>
    <t>Regulacja pionowa studzienek dla zaworów wodociagowych i gazowych zasuwy wodociągowe
4.00</t>
  </si>
  <si>
    <t>Rury ochronne typu Arot lub równowa ne o sr. 110 mm
10.00</t>
  </si>
  <si>
    <t>Podbudowy z gruntu stabilizowanego cementem Rm 2,5MPa grubości 15 cm
1143.124</t>
  </si>
  <si>
    <t>Mechaniczne profilowanie i zagęszczenie podłoża pod warstwy konstrukcyjne nawierzchni w gruncie kat. I-IV
1143.124</t>
  </si>
  <si>
    <t>Podbudowa z kruszywa łamanego - warstwa dolna o grubości po zagęszczeniu 15 cm - jezdnia - całkowita grubość 20 cm
954.016</t>
  </si>
  <si>
    <t>Podbudowa z kruszywa łamanego - warstwa dolna - za każdy dalszy 1 cm grubości po zagęszczeniu - jezdnia -kolejne 5 cm grubości
Krotność = 5
954.016</t>
  </si>
  <si>
    <t>Podbudowa z kruszywa łamanego - warstwa górna o grubości po zagęszczeniu 8 cm  - całkowita gr. 15 cm
865.276</t>
  </si>
  <si>
    <t>Podbudowa z kruszywa łamanego - warstwa górna - za każdy dalszy 1 cm grubości po zagęszczeniu - kolejne 7 cm grubości
Krotność = 7
865.276</t>
  </si>
  <si>
    <t>Mechaniczne czyszczenie nawierzchni drogowej nieulepszonej
865.276</t>
  </si>
  <si>
    <t>Skropienie nawierzchni emulsją asfaltową
865.276</t>
  </si>
  <si>
    <t>Nawierzchnia z betonu asfaltowego 0/16mm (AC16W) - warstwa wiążąca gr. 4 cm po zagęszczeniu- gr. warstwy łącznie 6 cm
865.276</t>
  </si>
  <si>
    <t>Nawierzchnia z betonu asfaltowego 0/16 mm (AC16W) - warstwa wiążąca- dalszy 1cm po zagęszczeniu
Krotność = 2
865.276</t>
  </si>
  <si>
    <t>Mechaniczne czyszczenie nawierzchni drogowej ulepszonej beton asfaltowy
865.276</t>
  </si>
  <si>
    <t>Nawierzchnia z betonu asfaltowego 0/11 mm gr 3 cm - warstwa ścieralna gr. 4 cm
865.276</t>
  </si>
  <si>
    <t>Nawierzchnia z betonu asfaltowego 0/11 mm dalszy 1 cm po zagęszczeniu
865.276</t>
  </si>
  <si>
    <t>Nawierzchnie z kostki brukowej betonowej grub. 8 cm na podsypce cementowo-piaskowej kostka betonowa czerwona typu "Holland" lub równoważna, Projektowana konstrukcja zjazdów
87.0</t>
  </si>
  <si>
    <t>Remont cząstkowy nawierzchni z kostki kamiennej nieregularnej o wys. 8cm na podsypce piaskowej z wyp. spoin piaskiem - Analogia: dostosowanie wysokościowe istniejacych zjazdów z kostki betonowej
15.0</t>
  </si>
  <si>
    <t>32
d.2.1</t>
  </si>
  <si>
    <t>33
d.2.1</t>
  </si>
  <si>
    <t>37
d.2.1</t>
  </si>
  <si>
    <t>43
d.2.2</t>
  </si>
  <si>
    <t>44
d.2.2</t>
  </si>
  <si>
    <t>45
d.2.2</t>
  </si>
  <si>
    <t>50
d.2.3</t>
  </si>
  <si>
    <t>51
d.2.3</t>
  </si>
  <si>
    <t>52
d.2.4</t>
  </si>
  <si>
    <t>53
d.2.2</t>
  </si>
  <si>
    <t>54
d.2.4</t>
  </si>
  <si>
    <t>58
d.2.4</t>
  </si>
  <si>
    <t>59
d.2.4</t>
  </si>
  <si>
    <t>60
d.2.5</t>
  </si>
  <si>
    <t>61
d.2.5</t>
  </si>
  <si>
    <t>62
d.2.5</t>
  </si>
  <si>
    <t>63
d.2.5</t>
  </si>
  <si>
    <t>Ława pod krawżniki z betonu C12/15 z oporem
28.92</t>
  </si>
  <si>
    <t>Krawężniki betonowe wystające o wymiarach 15x30 cm na podsypce cementowo-piaskowej - Analogia: kraweżnik najazdowy
486.0</t>
  </si>
  <si>
    <t>Ława pod krawężniki betonowa z oporem - ława pod obrzeża
2,0</t>
  </si>
  <si>
    <t>Obrzeża betonowe o wymiarach 30x8 cm na podsypce cementowo-piaskowej z wypełnieniem spoin zaprawą cementową
40.00</t>
  </si>
  <si>
    <t>68
d.2.6</t>
  </si>
  <si>
    <t>69
d.2.6</t>
  </si>
  <si>
    <t>70
d.2.6</t>
  </si>
  <si>
    <t>71
d.2.6</t>
  </si>
  <si>
    <t>Podbudowa z kruszywa łamanego - warstwa górna o grubości po zagęszczeniu 8 cm  - całkowita gr. 15 cm - pobocze tłuczniowe
202.0</t>
  </si>
  <si>
    <t>Podbudowa z kruszywa łamanego - warstwa górna - za każdy dalszy 1 cm grubości po zagęszczeniu - kolejne 7 cm grubości - pobocze tłuczniowe
Krotność = 7
202.0</t>
  </si>
  <si>
    <t>Humusowanie z obsianiem terenów zielonych przy grub. warstwy humusu 5cm
202.0</t>
  </si>
  <si>
    <t>Humusowanie z obsianiem dodatek za każde nast.5 cm humusu
202.0</t>
  </si>
  <si>
    <t>72
d.2.7</t>
  </si>
  <si>
    <t>73
d.2.7</t>
  </si>
  <si>
    <t>74
d.2.7</t>
  </si>
  <si>
    <t>75
d.2.7</t>
  </si>
  <si>
    <t>76
d.2.8</t>
  </si>
  <si>
    <t xml:space="preserve">               Indywidualną odległość transportu w poz. 11 d.1.1, 37 d.2.1, 41 d.2.1 i 48 d.2.2 uwzględnić w cenie 
               jednostkowej dla tej pozycji lub poprzez zmianę krotności dla tych pozycji.</t>
  </si>
  <si>
    <t>Przebudowa ul. Bartniczej w Radostowicach - Etap II odcinek od posesji nr 3 do skrzyżowania z ul. Dębową</t>
  </si>
  <si>
    <t>Zał. 1.A</t>
  </si>
  <si>
    <t>kpl.</t>
  </si>
  <si>
    <t>KNR 2-01
0119-03 analogia</t>
  </si>
  <si>
    <t>Zabezpieczenie istniejacej infrastruktury zgodnie z warunkami zawartymi w uzgodnieniach branżowych, nadzory branżowe, lokalizacja uzbrojenia w terenie
oraz zabezpieczenie uzbrojenia niewykazanego na mapach.
1.0</t>
  </si>
  <si>
    <t>KNR AT-03
0102-01</t>
  </si>
  <si>
    <t>KNR 2-31
0813-04</t>
  </si>
  <si>
    <t>KNR 4-01
0108-11 +
KNR 4-01
0108-12</t>
  </si>
  <si>
    <t>1
d.1</t>
  </si>
  <si>
    <t>2
d.1</t>
  </si>
  <si>
    <t>3
d.1</t>
  </si>
  <si>
    <t>4
d.1</t>
  </si>
  <si>
    <t>KNR 2-31
0101-03</t>
  </si>
  <si>
    <t>KNR 2-31
0101-04</t>
  </si>
  <si>
    <t>KNR 2-31
0103-05</t>
  </si>
  <si>
    <t>KNR 2-31
0104-07</t>
  </si>
  <si>
    <t>KNR 2-31
0114-05</t>
  </si>
  <si>
    <t>KNR 2-31
0114-06</t>
  </si>
  <si>
    <t>KNNR 6
0403-03</t>
  </si>
  <si>
    <t>2. ROBOTY ROZBIÓRKOWE</t>
  </si>
  <si>
    <t>3. NAWIERZCHNIA DROGI</t>
  </si>
  <si>
    <t>6
d.2</t>
  </si>
  <si>
    <t>7
d.2</t>
  </si>
  <si>
    <t>8
d.2</t>
  </si>
  <si>
    <t>9
d.2</t>
  </si>
  <si>
    <t>10
d.2</t>
  </si>
  <si>
    <t>11
d.2</t>
  </si>
  <si>
    <t>13
d.3</t>
  </si>
  <si>
    <t>14
d.3</t>
  </si>
  <si>
    <t>15
d.3</t>
  </si>
  <si>
    <t>16
d.3</t>
  </si>
  <si>
    <t>17
d.3</t>
  </si>
  <si>
    <t>18
d.3</t>
  </si>
  <si>
    <t>19
d.3</t>
  </si>
  <si>
    <t>20
d.3</t>
  </si>
  <si>
    <t>21
d.3</t>
  </si>
  <si>
    <t>22
d.3</t>
  </si>
  <si>
    <t>23
d.3</t>
  </si>
  <si>
    <t>24
d.3</t>
  </si>
  <si>
    <t>25
d.3</t>
  </si>
  <si>
    <t>26
d.3</t>
  </si>
  <si>
    <t>27
d.3</t>
  </si>
  <si>
    <t>28
d.3</t>
  </si>
  <si>
    <t>KNR 2-01
0510-01</t>
  </si>
  <si>
    <t>30
d.4</t>
  </si>
  <si>
    <t>31
d.4</t>
  </si>
  <si>
    <t>32
d.4</t>
  </si>
  <si>
    <t>33
d.4</t>
  </si>
  <si>
    <t>34
d.4</t>
  </si>
  <si>
    <t>35
d.4</t>
  </si>
  <si>
    <t>36
d.4</t>
  </si>
  <si>
    <t>40
d.5</t>
  </si>
  <si>
    <t>41
d.5</t>
  </si>
  <si>
    <t>42
d.5</t>
  </si>
  <si>
    <t>43
d.5</t>
  </si>
  <si>
    <t>44
d.5</t>
  </si>
  <si>
    <t>45
d.5</t>
  </si>
  <si>
    <t>46
d.5</t>
  </si>
  <si>
    <t>47
d.5</t>
  </si>
  <si>
    <t>49
d.6</t>
  </si>
  <si>
    <t>50
d.6</t>
  </si>
  <si>
    <t>51
d.6</t>
  </si>
  <si>
    <t>52
d.6</t>
  </si>
  <si>
    <t>53
d.6</t>
  </si>
  <si>
    <t>54
d.6</t>
  </si>
  <si>
    <t>55
d.6</t>
  </si>
  <si>
    <t>56
d.6</t>
  </si>
  <si>
    <t>57
d.6</t>
  </si>
  <si>
    <t>Przebudowa fragmentu ul. Tęczowej w Rudziczce wraz z odwodnieniem na odcinku o długości około 650mb</t>
  </si>
  <si>
    <t>1. CZYNNOŚCI TOWARZYSZĄCE</t>
  </si>
  <si>
    <t>Organizacja placu budowy (m.in.organizacja zaplecza i zabezpieczenie placu budowy, inwentaryzacja stanu istniejącego, zabezpieczenie punktów granicznych)
1.0</t>
  </si>
  <si>
    <t>analiza indywidualna</t>
  </si>
  <si>
    <t>Opracowanie, zatwierdzenie, wprowadzenie, utrzymanie i likwidacja czasowej organizacji ruchu.
1.0</t>
  </si>
  <si>
    <t>5
d.1</t>
  </si>
  <si>
    <t>KNR 2-31
0811-01
analogia</t>
  </si>
  <si>
    <t>KNR 2-31
0511-03
analiza indywidualna</t>
  </si>
  <si>
    <t>KNR 2-31
0407-03</t>
  </si>
  <si>
    <t>KNR 2-01
0216-02
analogia</t>
  </si>
  <si>
    <t>KNR 2-18
0501-02</t>
  </si>
  <si>
    <t>KNR 2-18
0625-02</t>
  </si>
  <si>
    <t>KNR 2-18
0613-03</t>
  </si>
  <si>
    <t>KNR 2-18
0613-04</t>
  </si>
  <si>
    <t>[0.5m] stud.</t>
  </si>
  <si>
    <t>KNR-W 2-18
0408-02</t>
  </si>
  <si>
    <t>KNR-W 2-18
0408-05</t>
  </si>
  <si>
    <t>Kanały z rur PVC łączonych na wcisk o śr. zewn. 400 mm
88.67</t>
  </si>
  <si>
    <t>KNR 2-01
0320-02
analogia</t>
  </si>
  <si>
    <t>KNR 2-01
0206-0</t>
  </si>
  <si>
    <t>KNR 4-01
0108-08
analogia</t>
  </si>
  <si>
    <t>KNR 2-31
0605-03</t>
  </si>
  <si>
    <t>Przepusty rurowe pod zjazdami - ścianki czołowe dla rur o śr. 40 cm
1.0</t>
  </si>
  <si>
    <t>ściank.</t>
  </si>
  <si>
    <t>Zarurowanie rowu na odcinku około 6,00 m na końcu opracowania
1.0</t>
  </si>
  <si>
    <t>KNR 2-31
0605-05</t>
  </si>
  <si>
    <t>Przepusty rurowe pod zjazdami - ścianki czołowe dla rur o śr. 60 cm
1.0</t>
  </si>
  <si>
    <t>KNR 2-11
0411-01</t>
  </si>
  <si>
    <t>Wykonanie ubezpieczenia płytami ażurowymi typu "Krata" mała o wym. 40x60x10
29.0</t>
  </si>
  <si>
    <t>KNR 2-01
0217-01</t>
  </si>
  <si>
    <t>KNNR 11
0501-05</t>
  </si>
  <si>
    <t>KNNR 4
1707-03
analogia</t>
  </si>
  <si>
    <t>KNNR 4
1009-01</t>
  </si>
  <si>
    <t>KNR 2-19
0219-01</t>
  </si>
  <si>
    <t>KNR-W 7-09
2803-01
analogia</t>
  </si>
  <si>
    <t>KNR-W 2-19
0306-05</t>
  </si>
  <si>
    <t>KNNR 1
0318-01</t>
  </si>
  <si>
    <t>KNR 2-31
1406-05</t>
  </si>
  <si>
    <t>12
d.3</t>
  </si>
  <si>
    <t>4. OPASKA Z KOSTKI BRUKOWEJ</t>
  </si>
  <si>
    <t>29
d.4</t>
  </si>
  <si>
    <t>5. ZJAZDY Z KOSTKI BRUKOWEJ</t>
  </si>
  <si>
    <t>37
d.5</t>
  </si>
  <si>
    <t>38
d.5</t>
  </si>
  <si>
    <t>39
d.5</t>
  </si>
  <si>
    <t>6. ZJAZDY Z MIESZANKI MINERALNO-ASFALTOWEJ</t>
  </si>
  <si>
    <t>48
d.6</t>
  </si>
  <si>
    <t>58
d.6</t>
  </si>
  <si>
    <t>59
d.6</t>
  </si>
  <si>
    <t>60
d.6</t>
  </si>
  <si>
    <t>61
d.6</t>
  </si>
  <si>
    <t>7. KANALIZACJA DESZCZOWA</t>
  </si>
  <si>
    <t>62
d.6</t>
  </si>
  <si>
    <t>63
d.6</t>
  </si>
  <si>
    <t>64
d.7</t>
  </si>
  <si>
    <t>65
d.7</t>
  </si>
  <si>
    <t>66
d.7</t>
  </si>
  <si>
    <t>67
d.7</t>
  </si>
  <si>
    <t>68
d.7</t>
  </si>
  <si>
    <t>69
d.7</t>
  </si>
  <si>
    <t>70
d.7</t>
  </si>
  <si>
    <t>71
d.7</t>
  </si>
  <si>
    <t>72
d.7</t>
  </si>
  <si>
    <t>73
d.7</t>
  </si>
  <si>
    <t>74
d.7</t>
  </si>
  <si>
    <t>75
d.7</t>
  </si>
  <si>
    <t>76
d.7</t>
  </si>
  <si>
    <t>77
d.7</t>
  </si>
  <si>
    <t>78
d.7</t>
  </si>
  <si>
    <t>8. BUDOWA SIĘGACZY WODOCIĄGOWYCH</t>
  </si>
  <si>
    <t>84
d.8</t>
  </si>
  <si>
    <t>85
d.8</t>
  </si>
  <si>
    <t>86
d.8</t>
  </si>
  <si>
    <t>87
d.8</t>
  </si>
  <si>
    <t>9. ROBOTY WYKOŃCZENIOWE</t>
  </si>
  <si>
    <t>88
d.8</t>
  </si>
  <si>
    <t>KNR 2-18
0613-02</t>
  </si>
  <si>
    <t>KNR 2-18
0613-01
analogia</t>
  </si>
  <si>
    <t>Studnie rewizyjne z kręgów betonowych o śr.1000 mm w gotowym wykopie o głębok. 3m
6.0</t>
  </si>
  <si>
    <t>Studnie rewizyjne z kręgów betonowych o śr.1000 mm w gotowym wykopie za każde 0.5 m różnicy głęb.
-12.0</t>
  </si>
  <si>
    <t>KNR-W 2-18
0408-04</t>
  </si>
  <si>
    <t>Kanały z rur PVC łączonych na wcisk o śr. zewn. 250 mm
240.50</t>
  </si>
  <si>
    <t>Czynności odbiorowe: próby szczelności kanału oraz studni, inspekcja kamerą kanału
1.0</t>
  </si>
  <si>
    <t>Montaż nawiertki elektrooporowej do nawiercania pod ciśnieniem DAV Dz 160/63 wraz z mufą elektrooporową Dz 63 wraz z teleskopową obudową, skrzynką uliczną do zasuw oraz płyta pod zasuwę
5.0</t>
  </si>
  <si>
    <t>79
d.7</t>
  </si>
  <si>
    <t>80
d.7</t>
  </si>
  <si>
    <t>81
d.7</t>
  </si>
  <si>
    <t>89
d.8</t>
  </si>
  <si>
    <t>90
d.8</t>
  </si>
  <si>
    <t>Pobocze z destruktu asfaltowego - warstwa górna o grubości po zagęszczeniu 8 cm
13.90</t>
  </si>
  <si>
    <t>Pobocze z destruktu asfaltowego - warstwa górna - za każdy dalszy 1 cm grubości po zagęszczeniu
Krotność = 2
13.90</t>
  </si>
  <si>
    <t>Montaż nawiertki elektrooporowej do nawiercania pod ciśnieniem DAV Dz 225/63 wraz z mufą elektrooporową Dz 63 wraz z teleskopową obudową, skrzynką uliczną do zasuw oraz płyta pod zasuwę
5.0</t>
  </si>
  <si>
    <t>82
d.7</t>
  </si>
  <si>
    <t>83
d.7</t>
  </si>
  <si>
    <t>91
d.8</t>
  </si>
  <si>
    <t>92
d.8</t>
  </si>
  <si>
    <t>93
d.8</t>
  </si>
  <si>
    <t>94
d.8</t>
  </si>
  <si>
    <t>95
d.9</t>
  </si>
  <si>
    <t>96
d.9</t>
  </si>
  <si>
    <t>97
d.9</t>
  </si>
  <si>
    <t xml:space="preserve">               Indywidualną odległość transportu w poz. 11 d.2, 14 d.3, 31 d.4, 39 d.5, 50 d.6 i 78 d.7 uwzględnić w cenie 
               jednostkowej dla tej pozycji.</t>
  </si>
  <si>
    <t>Roboty pomiarowe przy liniowych robotach ziemnych - trasa drogi w terenie równinnym
0.234+0.415=0.649</t>
  </si>
  <si>
    <t>Roboty pomiarowe przy liniowych robotach ziemnych - trasa drogi w terenie równinnym- pomiar powykonawczy z naniesieniem na zasoby mapowe
0.234+0.415=0.649</t>
  </si>
  <si>
    <t>Roboty remontowe - cięcie piłą nawierzchni bitumicznych na gł. 6-10 cm
40.0+40.0=80.0</t>
  </si>
  <si>
    <t>Roboty remontowe - frezowanie nawierzchni bitumicznej o gr. do 4 cm z wywozem materiału z rozbiórki na na plac składowy
835.0+1527.0=2362.0</t>
  </si>
  <si>
    <t>Rozebranie krawężników betonowych 20x30 cm na podsypce cem.piaskowej
65.0+160.0=225.0</t>
  </si>
  <si>
    <t>Rozebranie ław pod krawężniki z betonu
2.275+5.60=7.875</t>
  </si>
  <si>
    <t>Rozebranie nawierzchni istniejących zjazdów, zgodnie z dokumentacją -&gt; wymiana nawierzchni
37.0+45.0=82.0</t>
  </si>
  <si>
    <r>
      <t xml:space="preserve">Wywiezienie gruzu badź ziemi z wykopu wraz z załadunkiem i odwozem do 10km. wraz z opłatami za składowanie bądź utylizację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9.875+19.70=29.575</t>
    </r>
  </si>
  <si>
    <t>Mechaniczne wykonanie koryta na całej szerokości jezdni i chodników w gruncie kat.V-VI głębok. 20 cm
956.10+1702.40=2658.50</t>
  </si>
  <si>
    <t>Mechaniczne wykonanie koryta na całej szerokości jezdni i chodników w gruncie kat.V-VI - za każde dalsze 5 cm głębok. - docelowo 50 cm
Krotność = 6
956.10+1702.40=2658.50</t>
  </si>
  <si>
    <r>
      <t xml:space="preserve">Wywiezienie gruzu badź ziemi z wykopu wraz z załadunkiem i odwozem do 10km. wraz z opłatami za składowanie bądź utylizację 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478.05+851.20=1329.25</t>
    </r>
  </si>
  <si>
    <t>Mechaniczne profilowanie i zagęszenie podłoża pod warstwy konstrukcyjne nawierzchni w gr.kat.V-VI
956.10+1702.40=2658.50</t>
  </si>
  <si>
    <t>Warstwy odsączające z piasku w korycie lub na całej szerokości drogi, wykonanie i zagęszczanie mechaniczne - grubość warstwy po zagęszczeniu 10 cm
956.10+1702.40=2658.50</t>
  </si>
  <si>
    <t>Podbudowa z kruszywa łamanego - warstwa dolna o grubości po zagęszczeniu 15 cm - 0/63 mm
956.10+1702.40=2658.50</t>
  </si>
  <si>
    <t>Podbudowa z kruszywa łamanego - warstwa dolna - za każdy dalszy 1 cm grubości po zagęszczeniu, docelowo 20 cm 0/63
Krotność = 5
956.10+1702.40=2658.50</t>
  </si>
  <si>
    <t>Podbudowa z kruszywa łamanego - warstwa górna o grubości po zagęszczeniu 8 cm - 0/31,5
835.0+1526.0=2361.0</t>
  </si>
  <si>
    <t>Podbudowa z kruszywa łamanego - warstwa górna - za każdy dalszy 1 cm grubości po zagęszczeniu - docelowo 10 cm 0/31,5
Krotność = 2
835.0+1526.0=2361.0</t>
  </si>
  <si>
    <t>Krawężniki betonowe o wymiarach 15x22 cm z wykonaniem ław betonowych na podsypce cementowo-piaskowej
475.0+850.0=1325.0</t>
  </si>
  <si>
    <t>Skropienie nawierzchni drogowej asfaltem 
835.0+1526.0=2361.0</t>
  </si>
  <si>
    <t>Nawierzchnia z mieszanek mineralno-bitumicznych grysowych - warstwa wiążąca asfaltowa - grub.po zagęszcz. 4 cm
835.0+1526.0=2361.0</t>
  </si>
  <si>
    <t>Nawierzchnia z mieszanek mineralno-bitumicznych grysowych - warstwa wiążąca asfaltowa - każdy dalszy 1 cm grub.po zagęszcz.
Krotność = 2
835.0+1526.0=2361.0</t>
  </si>
  <si>
    <t>Mechaniczne czyszczenie nawierzchni drogowej ulepszonej (bitum)
835.0+1526.0=2361.0</t>
  </si>
  <si>
    <t>Skropienie nawierzchni drogowej asfaltem
835.0+1526.0=2361.0</t>
  </si>
  <si>
    <t>Nawierzchnia z mieszanek mineralno-bitumicznych grysowych - warstwa ścieralna asfaltowa - grub.po zagęszcz. 3 cm
835.0+1526.0=2361.0</t>
  </si>
  <si>
    <t>Nawierzchnia z mieszanek mineralno-bitumicznych grysowych - warstwa ścieralna asfaltowa - każdy dalszy 1 cm grub.po zagęszcz.
835.0+1526.0=2361.0</t>
  </si>
  <si>
    <t>Mechaniczne wykonanie koryta na całej szerokości jezdni i chodników w gruncie kat.V-VI głębok. 20 cm
359.30+546.68=905.98</t>
  </si>
  <si>
    <t>Mechaniczne wykonanie koryta na całej szerokości jezdni i chodników w gruncie kat.V-VI - za każde dalsze 5 cm głębok. -&gt; DOCELOWO 36 CM
Krotność = 3
359.30+546.68=905.98</t>
  </si>
  <si>
    <r>
      <t xml:space="preserve">Wywiezienie gruzu badź ziemi z wykopu wraz z załadunkiem i odwozem do 10 km. Wrac z opłatami za składowanie bądź utylizację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129.348+196.805=326.153</t>
    </r>
  </si>
  <si>
    <t>Mechaniczne profilowanie i zagęszenie podłoża pod warstwy konstrukcyjne nawierzchni w gr.kat.V-VI
359.30+546.68=905.98</t>
  </si>
  <si>
    <t>Warstwy odsączające z piasku w korycie lub na całej szerokości drogi, wykonanie i zagęszczanie mechaniczne - grubość warstwy po zagęszczeniu 10 cm
359.30+546.68=905.98</t>
  </si>
  <si>
    <t>Podbudowa z kruszywa łamanego - warstwa dolna o grub.po zagęszcz. 15 cm
300.68+520.0=820.68</t>
  </si>
  <si>
    <t>Nawierzchnie z kostki brukowej betonowej grub. 8 cm na podsypce cementowo-piaskowej
300.68+520.0=820.68</t>
  </si>
  <si>
    <t>Krawężniki betonowe o wymiarach 15x22 cm z wykonaniem ław betonowych na podsypce cementowo-piaskowej
235.0+433.0=668.0</t>
  </si>
  <si>
    <t>Mechaniczne wykonanie koryta na całej szerokości jezdni i chodników w gruncie kat.V-VI głębok. 20 cm
51.50+57.0=108.50</t>
  </si>
  <si>
    <t>Mechaniczne wykonanie koryta na całej szerokości jezdni i chodników w gruncie kat.V-VI - za każde dalsze 5 cm głębok. - docelowo 41 cm
Krotność = 4
51.50+57.0=108.50</t>
  </si>
  <si>
    <r>
      <t xml:space="preserve">Wywiezienie gruzu badź ziemi z wykopu wraz z załadunkiem i odwozem do 10 km. Wrac z opłatami za składowanie bądź utylizację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21.115+17.67=38.785</t>
    </r>
  </si>
  <si>
    <t>Mechaniczne profilowanie i zagęszenie podłoża pod warstwy konstrukcyjne nawierzchni w gr.kat.V-VI
51.50+57.0=108.50</t>
  </si>
  <si>
    <t>Warstwy odsączające z piasku w korycie lub na całej szerokości drogi, wykonanie i zagęszczanie mechaniczne - grubość warstwy po zagęszczeniu 10 cm
51.50+57.0=108.50</t>
  </si>
  <si>
    <t>Podbudowa z kruszywa łamanego - warstwa dolna o grub.po zagęszcz. 15 cm
51.50+57.0=108.50</t>
  </si>
  <si>
    <t>Podbudowa z kruszywa łamanego - warstwa dolna - za każdy dalszy 1 cm grub.po zagęszcz.
Krotność = 5
51.50+57.0=108.50</t>
  </si>
  <si>
    <t>Nawierzchnie z kostki brukowej betonowej grub. 8 cm na podsypce cementowo-piaskowej - kolor kostki czerwony, kostka prostokątna
51.50+57.0=108.50</t>
  </si>
  <si>
    <t>Przełożenie zjazdów (nawierzchnie istniejące z kostki beronowej, płyt betonowych, kostek kamiennych).
12.50+45.0=57.50</t>
  </si>
  <si>
    <t>Obrzeża betonowe o wymiarach 30x8 cm na podsypce piaskowej z wypełnieniem spoin piaskiem
55.50+76.0=131.50</t>
  </si>
  <si>
    <t>Ława pod krawężniki betonowa z oporem
2.498+3,42=5.918</t>
  </si>
  <si>
    <t>Mechaniczne wykonanie koryta na całej szerokości jezdni i chodników w gruncie kat.V-VI głębok. 20 cm
12.30+112.0=124.30</t>
  </si>
  <si>
    <t>Mechaniczne wykonanie koryta na całej szerokości jezdni i chodników w gruncie kat.V-VI - za każde dalsze 5 cm głębok. - docelowo 40 cm
Krotność = 4
12.30+112.0=124.30</t>
  </si>
  <si>
    <r>
      <t xml:space="preserve">Wywiezienie gruzu badź ziemi z wykopu wraz z załadunkiem i odwozem do 10 km. Wrac z opłatami za składowanie bądź utylizację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4.92+44.80=49.72</t>
    </r>
  </si>
  <si>
    <t>Mechaniczne profilowanie i zagęszenie podłoża pod warstwy konstrukcyjne nawierzchni w gr.kat.V-VI
12.30+112.0=124.30</t>
  </si>
  <si>
    <t>Warstwy odsączające z piasku w korycie lub na całej szerokości drogi, wykonanie i zagęszczanie mechaniczne - grubość warstwy po zagęszczeniu 10 cm
12.30+112.0=124.30</t>
  </si>
  <si>
    <t>Podbudowa z kruszywa łamanego - warstwa dolna o grub.po zagęszcz. 15 cm
12.30+112.0=124.30</t>
  </si>
  <si>
    <t>Podbudowa z kruszywa łamanego - warstwa dolna - za każdy dalszy 1 cm grub.po zagęszcz.
Krotność = 5
12.30+112.0=124.30</t>
  </si>
  <si>
    <t>Skropienie nawierzchni drogowej asfaltem
12.30+112.0=124.30</t>
  </si>
  <si>
    <t>Nawierzchnia z mieszanek mineralno-bitumicznych grysowych - warstwa wiążąca asfaltowa - grub.po zagęszcz. 4 cm
12.30+112.0=124.30</t>
  </si>
  <si>
    <t>Nawierzchnia z mieszanek mineralno-bitumicznych grysowych - warstwa wiążąca asfaltowa - każdy dalszy 1 cm grub.po zagęszcz.
Krotność = 2
12.30+112.0=124.30</t>
  </si>
  <si>
    <t>Mechaniczne czyszczenie nawierzchni drogowej ulepszonej (bitum)
12.30+112.0=124.30</t>
  </si>
  <si>
    <t>Nawierzchnia z mieszanek mineralno-bitumicznych grysowych - warstwa ścieralna asfaltowa - grub.po zagęszcz. 3 cm
12.30+112.0=124.30</t>
  </si>
  <si>
    <t>Nawierzchnia z mieszanek mineralno-bitumicznych grysowych - warstwa ścieralna asfaltowa - każdy dalszy 1 cm grub.po zagęszcz.
12.30+112.0=124.30</t>
  </si>
  <si>
    <t>Wykopy liniowe wykonywane koparkami przedsiębiernymi 0.60 m3 na odkład w gruncie kat. III
390.929+911.231=1302.16</t>
  </si>
  <si>
    <t>Ażurowe umocnienie pionowych ścian wykopów liniowych o gł. do 3,0 m wypraskami w gruntach suchych kat. III-IV wraz z rozbiórką(szer. do 1 m)
713.97+1670.51=2384.48</t>
  </si>
  <si>
    <t>Kanały rurowe - podłoża z materiałów sypkich o grub.15 cm
231.819+415.847=647.666</t>
  </si>
  <si>
    <t>Studzienki ściekowe z gotowych elementów betonowe o śr.500 mm z osadnikiem bez syfonu
12.0+18.0=30.0</t>
  </si>
  <si>
    <t>Studnie rewizyjne z kręgów betonowych o śr. 1200 mm w gotowym wykopie o głębokości 3 m
6.0+4.0=10.0</t>
  </si>
  <si>
    <t>Studnie rewizyjne z kręgów betonowych o śr. 1200 mm w gotowym wykopie za każde 0.5 m różnicy głębokości
-18.0-8.0=-26.0</t>
  </si>
  <si>
    <t>Kanały z rur PVC łączonych na wcisk o śr. zewn. 160 mm
20.57+35.61=56.18</t>
  </si>
  <si>
    <t>Kanały z rur PVC łączonych na wcisk o śr. zewn. 315 mm
128.75+150.42=279.17</t>
  </si>
  <si>
    <t>Zasypywanie wykopów liniowych o ścianach pionowych głębokości do 1.5 m kat.gr.III-IV - WYMIANA GRUNTU - zasypanie wykopu piaskiem
218.604+616.624=835.228</t>
  </si>
  <si>
    <t>Roboty ziemne wykon.koparkami podsiębiernymi o poj.łyżki 0.60 m3 w gr.kat.III z transp.urobku samochod.samowyładowczymi na odległość do 1 km
218.604+616.624=835.228</t>
  </si>
  <si>
    <r>
      <t xml:space="preserve">Wywóz ziemi samochodami samowyładowczymi - za każdy nast. 1 km </t>
    </r>
    <r>
      <rPr>
        <b/>
        <sz val="9"/>
        <rFont val="Times New Roman"/>
        <family val="1"/>
      </rPr>
      <t>- WYKONAWCA ROBÓT USTALI ODLEGŁOŚĆ TRANSPORTU INDYWIDUALNIE I UWZGLĘDNI KOSZT UTYLIZACJI LUB ZAGOSPODAROWANIA GRUNTU</t>
    </r>
    <r>
      <rPr>
        <sz val="9"/>
        <rFont val="Times New Roman"/>
        <family val="1"/>
      </rPr>
      <t xml:space="preserve">
218.604+616.624=835.228</t>
    </r>
  </si>
  <si>
    <t>Wykopy oraz przekopy wykonywane koparkami podsiębiernymi 0.15 m3 na odkład w gruncie kat. I-II
9.0+50.85=59.85</t>
  </si>
  <si>
    <t>Podłoża i obsypki z kruszyw naturalnych dowiezionych - PODSYPKA
1.20+6.78=7.98</t>
  </si>
  <si>
    <t>Podłoża i obsypki z kruszyw naturalnych dowiezionych - OBSYPKA
1.20+6.78=7.98</t>
  </si>
  <si>
    <t>Montaż nawiertki elektrooporowej do nawiercania pod ciśnieniem DAV Dz 110/63 wraz z mufą elektrooporową Dz 63 wraz z teleskopową obudową, skrzynką uliczną do zasuw oraz płyta pod zasuwę
2.0+1.0=3.0</t>
  </si>
  <si>
    <t>Sieci wodociągowe - montaż rurociągów z rur polietylenowych (PE, PEHD) o śr.zewnętrznej 63 mm
10.0+56.50=66.50</t>
  </si>
  <si>
    <t>Oznakowanie trasy gazociągu ułożonego w ziemi taśmą z tworzywa sztucznego - Analogia - oznakowanie trazy wodociągu
10.0+56.50=66.50</t>
  </si>
  <si>
    <t>Montaż zaślepki elektrooporowej Fi 63 na końcach sięgaczy
2.0+11.0=13.0</t>
  </si>
  <si>
    <t>Rury ochronne (osłonowe) z PE, PCW, PP o śr. nominalnej 110 mm
10.0+56.50=66.50</t>
  </si>
  <si>
    <t>Zasypywanie wykopów o ścianach pionowych o szerokości 0.8-2.5 m i głęb.do 1.5 m w gr.kat. I-III
5.38+53.87=59.25</t>
  </si>
  <si>
    <t>Humusowanie skarp z obsianiem przy grub.warstwy humusu 5 cm
415.0+415.0=830.0</t>
  </si>
  <si>
    <t>Regulacja pionowa studzienek dla zaworów wodociągowych i gazowych
15.0+15.0=30.0</t>
  </si>
  <si>
    <t>Regulacja pionowa studzienek dla studzienek telefonicznych wraz z wymianą nakryw
6.0+6.0=12.0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</si>
</sst>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0" fillId="35" borderId="17" xfId="0" applyNumberForma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right" wrapText="1"/>
    </xf>
    <xf numFmtId="0" fontId="0" fillId="35" borderId="18" xfId="0" applyNumberFormat="1" applyFill="1" applyBorder="1" applyAlignment="1">
      <alignment wrapText="1"/>
    </xf>
    <xf numFmtId="0" fontId="0" fillId="35" borderId="17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1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2" xfId="0" applyNumberFormat="1" applyFill="1" applyBorder="1" applyAlignment="1">
      <alignment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0" fillId="35" borderId="24" xfId="0" applyNumberFormat="1" applyFill="1" applyBorder="1" applyAlignment="1">
      <alignment horizontal="right" vertical="center" wrapText="1"/>
    </xf>
    <xf numFmtId="0" fontId="0" fillId="35" borderId="24" xfId="0" applyNumberFormat="1" applyFill="1" applyBorder="1" applyAlignment="1">
      <alignment vertical="center" wrapText="1"/>
    </xf>
    <xf numFmtId="0" fontId="0" fillId="35" borderId="25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172" fontId="4" fillId="0" borderId="2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2" fontId="4" fillId="0" borderId="30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8" fontId="4" fillId="0" borderId="35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32" xfId="0" applyNumberFormat="1" applyFont="1" applyFill="1" applyBorder="1" applyAlignment="1">
      <alignment horizontal="right" vertical="center"/>
    </xf>
    <xf numFmtId="172" fontId="4" fillId="0" borderId="3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7" fillId="34" borderId="1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7" fillId="34" borderId="38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21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1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left"/>
    </xf>
    <xf numFmtId="0" fontId="3" fillId="34" borderId="49" xfId="0" applyFont="1" applyFill="1" applyBorder="1" applyAlignment="1">
      <alignment horizontal="left"/>
    </xf>
    <xf numFmtId="0" fontId="3" fillId="34" borderId="50" xfId="0" applyFont="1" applyFill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34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25">
      <selection activeCell="C28" sqref="C28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20" t="s">
        <v>259</v>
      </c>
    </row>
    <row r="2" spans="1:9" ht="12.75" customHeight="1">
      <c r="A2" s="109" t="s">
        <v>3</v>
      </c>
      <c r="B2" s="109"/>
      <c r="C2" s="109"/>
      <c r="D2" s="109"/>
      <c r="E2" s="109"/>
      <c r="F2" s="109"/>
      <c r="G2" s="109"/>
      <c r="H2" s="109"/>
      <c r="I2" s="11"/>
    </row>
    <row r="3" spans="1:9" ht="10.5" customHeight="1">
      <c r="A3" s="113" t="s">
        <v>326</v>
      </c>
      <c r="B3" s="113"/>
      <c r="C3" s="113"/>
      <c r="D3" s="113"/>
      <c r="E3" s="113"/>
      <c r="F3" s="113"/>
      <c r="G3" s="113"/>
      <c r="H3" s="113"/>
      <c r="I3" s="11"/>
    </row>
    <row r="4" spans="1:8" ht="4.5" customHeight="1" thickBot="1">
      <c r="A4" s="114"/>
      <c r="B4" s="114"/>
      <c r="C4" s="114"/>
      <c r="D4" s="114"/>
      <c r="E4" s="114"/>
      <c r="F4" s="114"/>
      <c r="G4" s="114"/>
      <c r="H4" s="114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87" t="s">
        <v>102</v>
      </c>
      <c r="B7" s="88"/>
      <c r="C7" s="88"/>
      <c r="D7" s="88"/>
      <c r="E7" s="88"/>
      <c r="F7" s="88"/>
      <c r="G7" s="88"/>
      <c r="H7" s="89"/>
    </row>
    <row r="8" spans="1:10" ht="13.5" thickTop="1">
      <c r="A8" s="110" t="s">
        <v>327</v>
      </c>
      <c r="B8" s="111"/>
      <c r="C8" s="111"/>
      <c r="D8" s="111"/>
      <c r="E8" s="111"/>
      <c r="F8" s="111"/>
      <c r="G8" s="111"/>
      <c r="H8" s="112"/>
      <c r="J8" s="1"/>
    </row>
    <row r="9" spans="1:10" ht="60">
      <c r="A9" s="43" t="s">
        <v>266</v>
      </c>
      <c r="B9" s="44" t="s">
        <v>25</v>
      </c>
      <c r="C9" s="77" t="s">
        <v>328</v>
      </c>
      <c r="D9" s="44" t="s">
        <v>260</v>
      </c>
      <c r="E9" s="59">
        <v>1</v>
      </c>
      <c r="F9" s="134">
        <v>0</v>
      </c>
      <c r="G9" s="58">
        <v>1</v>
      </c>
      <c r="H9" s="135">
        <f aca="true" t="shared" si="0" ref="H9:H74">ROUND(E9*F9*G9,2)</f>
        <v>0</v>
      </c>
      <c r="J9" s="1"/>
    </row>
    <row r="10" spans="1:10" s="40" customFormat="1" ht="48">
      <c r="A10" s="43" t="s">
        <v>267</v>
      </c>
      <c r="B10" s="44" t="s">
        <v>23</v>
      </c>
      <c r="C10" s="45" t="s">
        <v>428</v>
      </c>
      <c r="D10" s="44" t="s">
        <v>0</v>
      </c>
      <c r="E10" s="59">
        <f>0.234+0.415</f>
        <v>0.649</v>
      </c>
      <c r="F10" s="134">
        <v>0</v>
      </c>
      <c r="G10" s="58">
        <v>1</v>
      </c>
      <c r="H10" s="135">
        <f t="shared" si="0"/>
        <v>0</v>
      </c>
      <c r="J10" s="1"/>
    </row>
    <row r="11" spans="1:10" s="40" customFormat="1" ht="60">
      <c r="A11" s="43" t="s">
        <v>268</v>
      </c>
      <c r="B11" s="44" t="s">
        <v>261</v>
      </c>
      <c r="C11" s="45" t="s">
        <v>429</v>
      </c>
      <c r="D11" s="44" t="s">
        <v>0</v>
      </c>
      <c r="E11" s="59">
        <f>E10</f>
        <v>0.649</v>
      </c>
      <c r="F11" s="134">
        <v>0</v>
      </c>
      <c r="G11" s="58">
        <v>1</v>
      </c>
      <c r="H11" s="135">
        <f t="shared" si="0"/>
        <v>0</v>
      </c>
      <c r="J11" s="1"/>
    </row>
    <row r="12" spans="1:10" s="40" customFormat="1" ht="48">
      <c r="A12" s="43" t="s">
        <v>269</v>
      </c>
      <c r="B12" s="44" t="s">
        <v>329</v>
      </c>
      <c r="C12" s="45" t="s">
        <v>330</v>
      </c>
      <c r="D12" s="44" t="s">
        <v>260</v>
      </c>
      <c r="E12" s="59">
        <v>1</v>
      </c>
      <c r="F12" s="134">
        <v>0</v>
      </c>
      <c r="G12" s="58">
        <v>1</v>
      </c>
      <c r="H12" s="135">
        <f>ROUND(E12*F12*G12,2)</f>
        <v>0</v>
      </c>
      <c r="J12" s="1"/>
    </row>
    <row r="13" spans="1:10" s="40" customFormat="1" ht="72">
      <c r="A13" s="43" t="s">
        <v>331</v>
      </c>
      <c r="B13" s="44" t="s">
        <v>25</v>
      </c>
      <c r="C13" s="45" t="s">
        <v>262</v>
      </c>
      <c r="D13" s="44" t="s">
        <v>260</v>
      </c>
      <c r="E13" s="59">
        <v>1</v>
      </c>
      <c r="F13" s="134">
        <v>0</v>
      </c>
      <c r="G13" s="58">
        <v>1</v>
      </c>
      <c r="H13" s="135">
        <f t="shared" si="0"/>
        <v>0</v>
      </c>
      <c r="J13" s="1"/>
    </row>
    <row r="14" spans="1:10" s="40" customFormat="1" ht="12.75" customHeight="1">
      <c r="A14" s="96" t="s">
        <v>277</v>
      </c>
      <c r="B14" s="97"/>
      <c r="C14" s="97"/>
      <c r="D14" s="97"/>
      <c r="E14" s="97"/>
      <c r="F14" s="97"/>
      <c r="G14" s="97"/>
      <c r="H14" s="98"/>
      <c r="J14" s="1"/>
    </row>
    <row r="15" spans="1:10" s="40" customFormat="1" ht="48">
      <c r="A15" s="43" t="s">
        <v>279</v>
      </c>
      <c r="B15" s="44" t="s">
        <v>145</v>
      </c>
      <c r="C15" s="45" t="s">
        <v>430</v>
      </c>
      <c r="D15" s="44" t="s">
        <v>1</v>
      </c>
      <c r="E15" s="59">
        <f>40+40</f>
        <v>80</v>
      </c>
      <c r="F15" s="134">
        <v>0</v>
      </c>
      <c r="G15" s="58">
        <v>1</v>
      </c>
      <c r="H15" s="135">
        <f t="shared" si="0"/>
        <v>0</v>
      </c>
      <c r="J15" s="1"/>
    </row>
    <row r="16" spans="1:10" s="40" customFormat="1" ht="60">
      <c r="A16" s="43" t="s">
        <v>280</v>
      </c>
      <c r="B16" s="44" t="s">
        <v>263</v>
      </c>
      <c r="C16" s="45" t="s">
        <v>431</v>
      </c>
      <c r="D16" s="44" t="s">
        <v>27</v>
      </c>
      <c r="E16" s="59">
        <f>835+1527</f>
        <v>2362</v>
      </c>
      <c r="F16" s="134">
        <v>0</v>
      </c>
      <c r="G16" s="58">
        <v>1</v>
      </c>
      <c r="H16" s="135">
        <f t="shared" si="0"/>
        <v>0</v>
      </c>
      <c r="J16" s="1"/>
    </row>
    <row r="17" spans="1:10" s="40" customFormat="1" ht="48">
      <c r="A17" s="43" t="s">
        <v>281</v>
      </c>
      <c r="B17" s="44" t="s">
        <v>264</v>
      </c>
      <c r="C17" s="45" t="s">
        <v>432</v>
      </c>
      <c r="D17" s="44" t="s">
        <v>1</v>
      </c>
      <c r="E17" s="59">
        <f>65+160</f>
        <v>225</v>
      </c>
      <c r="F17" s="134">
        <v>0</v>
      </c>
      <c r="G17" s="58">
        <v>1</v>
      </c>
      <c r="H17" s="135">
        <f t="shared" si="0"/>
        <v>0</v>
      </c>
      <c r="J17" s="1"/>
    </row>
    <row r="18" spans="1:10" s="40" customFormat="1" ht="36">
      <c r="A18" s="43" t="s">
        <v>282</v>
      </c>
      <c r="B18" s="44" t="s">
        <v>114</v>
      </c>
      <c r="C18" s="45" t="s">
        <v>433</v>
      </c>
      <c r="D18" s="44" t="s">
        <v>27</v>
      </c>
      <c r="E18" s="59">
        <f>2.275+5.6</f>
        <v>7.875</v>
      </c>
      <c r="F18" s="134">
        <v>0</v>
      </c>
      <c r="G18" s="58">
        <v>1</v>
      </c>
      <c r="H18" s="135">
        <f t="shared" si="0"/>
        <v>0</v>
      </c>
      <c r="J18" s="1"/>
    </row>
    <row r="19" spans="1:10" s="40" customFormat="1" ht="48">
      <c r="A19" s="43" t="s">
        <v>283</v>
      </c>
      <c r="B19" s="44" t="s">
        <v>332</v>
      </c>
      <c r="C19" s="45" t="s">
        <v>434</v>
      </c>
      <c r="D19" s="44" t="s">
        <v>27</v>
      </c>
      <c r="E19" s="59">
        <f>37+45</f>
        <v>82</v>
      </c>
      <c r="F19" s="134">
        <v>0</v>
      </c>
      <c r="G19" s="58">
        <v>1</v>
      </c>
      <c r="H19" s="135">
        <f t="shared" si="0"/>
        <v>0</v>
      </c>
      <c r="J19" s="1"/>
    </row>
    <row r="20" spans="1:10" s="40" customFormat="1" ht="84">
      <c r="A20" s="43" t="s">
        <v>284</v>
      </c>
      <c r="B20" s="44" t="s">
        <v>265</v>
      </c>
      <c r="C20" s="45" t="s">
        <v>435</v>
      </c>
      <c r="D20" s="44" t="s">
        <v>28</v>
      </c>
      <c r="E20" s="59">
        <f>9.875+19.7</f>
        <v>29.575</v>
      </c>
      <c r="F20" s="134">
        <v>0</v>
      </c>
      <c r="G20" s="58">
        <v>1</v>
      </c>
      <c r="H20" s="135">
        <f t="shared" si="0"/>
        <v>0</v>
      </c>
      <c r="J20" s="1"/>
    </row>
    <row r="21" spans="1:10" s="40" customFormat="1" ht="12.75" customHeight="1">
      <c r="A21" s="96" t="s">
        <v>278</v>
      </c>
      <c r="B21" s="97"/>
      <c r="C21" s="97"/>
      <c r="D21" s="97"/>
      <c r="E21" s="97"/>
      <c r="F21" s="97"/>
      <c r="G21" s="97"/>
      <c r="H21" s="98"/>
      <c r="J21" s="1"/>
    </row>
    <row r="22" spans="1:10" s="40" customFormat="1" ht="48.75" thickBot="1">
      <c r="A22" s="48" t="s">
        <v>364</v>
      </c>
      <c r="B22" s="49" t="s">
        <v>270</v>
      </c>
      <c r="C22" s="50" t="s">
        <v>436</v>
      </c>
      <c r="D22" s="49" t="s">
        <v>27</v>
      </c>
      <c r="E22" s="62">
        <f>956.1+1702.4</f>
        <v>2658.5</v>
      </c>
      <c r="F22" s="136">
        <v>0</v>
      </c>
      <c r="G22" s="137">
        <v>1</v>
      </c>
      <c r="H22" s="138">
        <f t="shared" si="0"/>
        <v>0</v>
      </c>
      <c r="J22" s="1"/>
    </row>
    <row r="23" spans="1:10" s="40" customFormat="1" ht="84.75" thickTop="1">
      <c r="A23" s="53" t="s">
        <v>285</v>
      </c>
      <c r="B23" s="54" t="s">
        <v>271</v>
      </c>
      <c r="C23" s="55" t="s">
        <v>437</v>
      </c>
      <c r="D23" s="54" t="s">
        <v>27</v>
      </c>
      <c r="E23" s="63">
        <f>E22</f>
        <v>2658.5</v>
      </c>
      <c r="F23" s="139">
        <v>0</v>
      </c>
      <c r="G23" s="140">
        <v>6</v>
      </c>
      <c r="H23" s="141">
        <f t="shared" si="0"/>
        <v>0</v>
      </c>
      <c r="J23" s="1"/>
    </row>
    <row r="24" spans="1:10" s="40" customFormat="1" ht="84">
      <c r="A24" s="43" t="s">
        <v>286</v>
      </c>
      <c r="B24" s="44" t="s">
        <v>265</v>
      </c>
      <c r="C24" s="45" t="s">
        <v>438</v>
      </c>
      <c r="D24" s="44" t="s">
        <v>28</v>
      </c>
      <c r="E24" s="59">
        <f>478.05+851.2</f>
        <v>1329.25</v>
      </c>
      <c r="F24" s="134">
        <v>0</v>
      </c>
      <c r="G24" s="58">
        <v>1</v>
      </c>
      <c r="H24" s="135">
        <f t="shared" si="0"/>
        <v>0</v>
      </c>
      <c r="J24" s="1"/>
    </row>
    <row r="25" spans="1:10" s="40" customFormat="1" ht="48">
      <c r="A25" s="43" t="s">
        <v>287</v>
      </c>
      <c r="B25" s="44" t="s">
        <v>272</v>
      </c>
      <c r="C25" s="45" t="s">
        <v>439</v>
      </c>
      <c r="D25" s="44" t="s">
        <v>27</v>
      </c>
      <c r="E25" s="59">
        <f>E23</f>
        <v>2658.5</v>
      </c>
      <c r="F25" s="134">
        <v>0</v>
      </c>
      <c r="G25" s="58">
        <v>1</v>
      </c>
      <c r="H25" s="135">
        <f t="shared" si="0"/>
        <v>0</v>
      </c>
      <c r="J25" s="1"/>
    </row>
    <row r="26" spans="1:10" s="40" customFormat="1" ht="60">
      <c r="A26" s="43" t="s">
        <v>288</v>
      </c>
      <c r="B26" s="44" t="s">
        <v>273</v>
      </c>
      <c r="C26" s="45" t="s">
        <v>440</v>
      </c>
      <c r="D26" s="44" t="s">
        <v>27</v>
      </c>
      <c r="E26" s="59">
        <f>E25</f>
        <v>2658.5</v>
      </c>
      <c r="F26" s="134">
        <v>0</v>
      </c>
      <c r="G26" s="58">
        <v>1</v>
      </c>
      <c r="H26" s="135">
        <f t="shared" si="0"/>
        <v>0</v>
      </c>
      <c r="J26" s="1"/>
    </row>
    <row r="27" spans="1:10" s="40" customFormat="1" ht="48">
      <c r="A27" s="43" t="s">
        <v>289</v>
      </c>
      <c r="B27" s="44" t="s">
        <v>274</v>
      </c>
      <c r="C27" s="45" t="s">
        <v>441</v>
      </c>
      <c r="D27" s="44" t="s">
        <v>27</v>
      </c>
      <c r="E27" s="59">
        <f>E25</f>
        <v>2658.5</v>
      </c>
      <c r="F27" s="134">
        <v>0</v>
      </c>
      <c r="G27" s="58">
        <v>1</v>
      </c>
      <c r="H27" s="135">
        <f t="shared" si="0"/>
        <v>0</v>
      </c>
      <c r="J27" s="1"/>
    </row>
    <row r="28" spans="1:10" s="40" customFormat="1" ht="84">
      <c r="A28" s="43" t="s">
        <v>290</v>
      </c>
      <c r="B28" s="44" t="s">
        <v>275</v>
      </c>
      <c r="C28" s="45" t="s">
        <v>442</v>
      </c>
      <c r="D28" s="44" t="s">
        <v>27</v>
      </c>
      <c r="E28" s="59">
        <f>E25</f>
        <v>2658.5</v>
      </c>
      <c r="F28" s="134">
        <v>0</v>
      </c>
      <c r="G28" s="58">
        <v>5</v>
      </c>
      <c r="H28" s="135">
        <f t="shared" si="0"/>
        <v>0</v>
      </c>
      <c r="J28" s="1"/>
    </row>
    <row r="29" spans="1:10" s="40" customFormat="1" ht="48">
      <c r="A29" s="43" t="s">
        <v>291</v>
      </c>
      <c r="B29" s="44" t="s">
        <v>118</v>
      </c>
      <c r="C29" s="45" t="s">
        <v>443</v>
      </c>
      <c r="D29" s="44" t="s">
        <v>27</v>
      </c>
      <c r="E29" s="59">
        <f>835+1526</f>
        <v>2361</v>
      </c>
      <c r="F29" s="134">
        <v>0</v>
      </c>
      <c r="G29" s="58">
        <v>1</v>
      </c>
      <c r="H29" s="135">
        <f t="shared" si="0"/>
        <v>0</v>
      </c>
      <c r="I29" s="41"/>
      <c r="J29" s="1"/>
    </row>
    <row r="30" spans="1:10" s="40" customFormat="1" ht="84">
      <c r="A30" s="43" t="s">
        <v>292</v>
      </c>
      <c r="B30" s="44" t="s">
        <v>119</v>
      </c>
      <c r="C30" s="45" t="s">
        <v>444</v>
      </c>
      <c r="D30" s="44" t="s">
        <v>27</v>
      </c>
      <c r="E30" s="59">
        <f>E29</f>
        <v>2361</v>
      </c>
      <c r="F30" s="58">
        <v>0</v>
      </c>
      <c r="G30" s="58">
        <v>2</v>
      </c>
      <c r="H30" s="135">
        <f t="shared" si="0"/>
        <v>0</v>
      </c>
      <c r="I30" s="41"/>
      <c r="J30" s="1"/>
    </row>
    <row r="31" spans="1:10" s="40" customFormat="1" ht="60">
      <c r="A31" s="43" t="s">
        <v>293</v>
      </c>
      <c r="B31" s="44" t="s">
        <v>276</v>
      </c>
      <c r="C31" s="45" t="s">
        <v>445</v>
      </c>
      <c r="D31" s="44" t="s">
        <v>1</v>
      </c>
      <c r="E31" s="59">
        <f>475+850</f>
        <v>1325</v>
      </c>
      <c r="F31" s="58">
        <v>0</v>
      </c>
      <c r="G31" s="58">
        <v>1</v>
      </c>
      <c r="H31" s="135">
        <f t="shared" si="0"/>
        <v>0</v>
      </c>
      <c r="I31" s="41"/>
      <c r="J31" s="1"/>
    </row>
    <row r="32" spans="1:10" s="40" customFormat="1" ht="36">
      <c r="A32" s="43" t="s">
        <v>294</v>
      </c>
      <c r="B32" s="44" t="s">
        <v>129</v>
      </c>
      <c r="C32" s="45" t="s">
        <v>446</v>
      </c>
      <c r="D32" s="44" t="s">
        <v>27</v>
      </c>
      <c r="E32" s="59">
        <f>E29</f>
        <v>2361</v>
      </c>
      <c r="F32" s="58">
        <v>0</v>
      </c>
      <c r="G32" s="58">
        <v>1</v>
      </c>
      <c r="H32" s="135">
        <f>ROUND(E32*F32*G32,2)</f>
        <v>0</v>
      </c>
      <c r="I32" s="41"/>
      <c r="J32" s="1"/>
    </row>
    <row r="33" spans="1:10" s="40" customFormat="1" ht="60">
      <c r="A33" s="43" t="s">
        <v>295</v>
      </c>
      <c r="B33" s="44" t="s">
        <v>132</v>
      </c>
      <c r="C33" s="45" t="s">
        <v>447</v>
      </c>
      <c r="D33" s="44" t="s">
        <v>27</v>
      </c>
      <c r="E33" s="59">
        <f>E32</f>
        <v>2361</v>
      </c>
      <c r="F33" s="58">
        <v>0</v>
      </c>
      <c r="G33" s="58">
        <v>1</v>
      </c>
      <c r="H33" s="135">
        <f>ROUND(E33*F33*G33,2)</f>
        <v>0</v>
      </c>
      <c r="I33" s="41"/>
      <c r="J33" s="1"/>
    </row>
    <row r="34" spans="1:10" s="40" customFormat="1" ht="84.75" thickBot="1">
      <c r="A34" s="48" t="s">
        <v>296</v>
      </c>
      <c r="B34" s="49" t="s">
        <v>131</v>
      </c>
      <c r="C34" s="50" t="s">
        <v>448</v>
      </c>
      <c r="D34" s="49" t="s">
        <v>27</v>
      </c>
      <c r="E34" s="62">
        <f>E33</f>
        <v>2361</v>
      </c>
      <c r="F34" s="137">
        <v>0</v>
      </c>
      <c r="G34" s="137">
        <v>2</v>
      </c>
      <c r="H34" s="138">
        <f>ROUND(E34*F34*G34,2)</f>
        <v>0</v>
      </c>
      <c r="I34" s="41"/>
      <c r="J34" s="1"/>
    </row>
    <row r="35" spans="1:10" s="40" customFormat="1" ht="48.75" thickTop="1">
      <c r="A35" s="53" t="s">
        <v>297</v>
      </c>
      <c r="B35" s="54" t="s">
        <v>130</v>
      </c>
      <c r="C35" s="55" t="s">
        <v>449</v>
      </c>
      <c r="D35" s="54" t="s">
        <v>27</v>
      </c>
      <c r="E35" s="63">
        <f>E29</f>
        <v>2361</v>
      </c>
      <c r="F35" s="140">
        <v>0</v>
      </c>
      <c r="G35" s="140">
        <v>1</v>
      </c>
      <c r="H35" s="141">
        <f>ROUND(E35*F35*G35,2)</f>
        <v>0</v>
      </c>
      <c r="I35" s="41"/>
      <c r="J35" s="1"/>
    </row>
    <row r="36" spans="1:10" s="40" customFormat="1" ht="36">
      <c r="A36" s="43" t="s">
        <v>298</v>
      </c>
      <c r="B36" s="44" t="s">
        <v>129</v>
      </c>
      <c r="C36" s="45" t="s">
        <v>450</v>
      </c>
      <c r="D36" s="44" t="s">
        <v>27</v>
      </c>
      <c r="E36" s="59">
        <f>E35</f>
        <v>2361</v>
      </c>
      <c r="F36" s="58">
        <v>0</v>
      </c>
      <c r="G36" s="58">
        <v>1</v>
      </c>
      <c r="H36" s="135">
        <f t="shared" si="0"/>
        <v>0</v>
      </c>
      <c r="I36" s="41"/>
      <c r="J36" s="1"/>
    </row>
    <row r="37" spans="1:10" s="40" customFormat="1" ht="60">
      <c r="A37" s="43" t="s">
        <v>299</v>
      </c>
      <c r="B37" s="44" t="s">
        <v>128</v>
      </c>
      <c r="C37" s="45" t="s">
        <v>451</v>
      </c>
      <c r="D37" s="44" t="s">
        <v>27</v>
      </c>
      <c r="E37" s="59">
        <f>E36</f>
        <v>2361</v>
      </c>
      <c r="F37" s="58">
        <v>0</v>
      </c>
      <c r="G37" s="58">
        <v>1</v>
      </c>
      <c r="H37" s="135">
        <f t="shared" si="0"/>
        <v>0</v>
      </c>
      <c r="I37" s="41"/>
      <c r="J37" s="1"/>
    </row>
    <row r="38" spans="1:10" s="40" customFormat="1" ht="60">
      <c r="A38" s="43" t="s">
        <v>300</v>
      </c>
      <c r="B38" s="44" t="s">
        <v>127</v>
      </c>
      <c r="C38" s="45" t="s">
        <v>452</v>
      </c>
      <c r="D38" s="44" t="s">
        <v>27</v>
      </c>
      <c r="E38" s="59">
        <f>E36</f>
        <v>2361</v>
      </c>
      <c r="F38" s="58">
        <v>0</v>
      </c>
      <c r="G38" s="58">
        <v>1</v>
      </c>
      <c r="H38" s="135">
        <f t="shared" si="0"/>
        <v>0</v>
      </c>
      <c r="I38" s="41"/>
      <c r="J38" s="1"/>
    </row>
    <row r="39" spans="1:10" s="40" customFormat="1" ht="12.75">
      <c r="A39" s="93" t="s">
        <v>365</v>
      </c>
      <c r="B39" s="94"/>
      <c r="C39" s="94"/>
      <c r="D39" s="94"/>
      <c r="E39" s="94"/>
      <c r="F39" s="94"/>
      <c r="G39" s="94"/>
      <c r="H39" s="95"/>
      <c r="I39" s="41"/>
      <c r="J39" s="1"/>
    </row>
    <row r="40" spans="1:10" s="40" customFormat="1" ht="48">
      <c r="A40" s="43" t="s">
        <v>366</v>
      </c>
      <c r="B40" s="44" t="s">
        <v>270</v>
      </c>
      <c r="C40" s="45" t="s">
        <v>453</v>
      </c>
      <c r="D40" s="44" t="s">
        <v>27</v>
      </c>
      <c r="E40" s="59">
        <f>359.3+546.68</f>
        <v>905.98</v>
      </c>
      <c r="F40" s="58">
        <v>0</v>
      </c>
      <c r="G40" s="58">
        <v>1</v>
      </c>
      <c r="H40" s="135">
        <f t="shared" si="0"/>
        <v>0</v>
      </c>
      <c r="I40" s="41"/>
      <c r="J40" s="1"/>
    </row>
    <row r="41" spans="1:10" s="40" customFormat="1" ht="84">
      <c r="A41" s="43" t="s">
        <v>302</v>
      </c>
      <c r="B41" s="44" t="s">
        <v>271</v>
      </c>
      <c r="C41" s="45" t="s">
        <v>454</v>
      </c>
      <c r="D41" s="44" t="s">
        <v>27</v>
      </c>
      <c r="E41" s="59">
        <f>E40</f>
        <v>905.98</v>
      </c>
      <c r="F41" s="58">
        <v>0</v>
      </c>
      <c r="G41" s="58">
        <v>3</v>
      </c>
      <c r="H41" s="135">
        <f t="shared" si="0"/>
        <v>0</v>
      </c>
      <c r="I41" s="41"/>
      <c r="J41" s="1"/>
    </row>
    <row r="42" spans="1:10" s="40" customFormat="1" ht="84">
      <c r="A42" s="43" t="s">
        <v>303</v>
      </c>
      <c r="B42" s="44" t="s">
        <v>265</v>
      </c>
      <c r="C42" s="45" t="s">
        <v>455</v>
      </c>
      <c r="D42" s="44" t="s">
        <v>28</v>
      </c>
      <c r="E42" s="59">
        <f>129.348+196.805</f>
        <v>326.153</v>
      </c>
      <c r="F42" s="58">
        <v>0</v>
      </c>
      <c r="G42" s="58">
        <v>1</v>
      </c>
      <c r="H42" s="135">
        <f t="shared" si="0"/>
        <v>0</v>
      </c>
      <c r="I42" s="41"/>
      <c r="J42" s="1"/>
    </row>
    <row r="43" spans="1:10" s="40" customFormat="1" ht="48">
      <c r="A43" s="43" t="s">
        <v>304</v>
      </c>
      <c r="B43" s="44" t="s">
        <v>272</v>
      </c>
      <c r="C43" s="45" t="s">
        <v>456</v>
      </c>
      <c r="D43" s="44" t="s">
        <v>27</v>
      </c>
      <c r="E43" s="59">
        <f>E40</f>
        <v>905.98</v>
      </c>
      <c r="F43" s="58">
        <v>0</v>
      </c>
      <c r="G43" s="58">
        <v>1</v>
      </c>
      <c r="H43" s="135">
        <f t="shared" si="0"/>
        <v>0</v>
      </c>
      <c r="I43" s="41"/>
      <c r="J43" s="1"/>
    </row>
    <row r="44" spans="1:10" s="40" customFormat="1" ht="60">
      <c r="A44" s="43" t="s">
        <v>305</v>
      </c>
      <c r="B44" s="44" t="s">
        <v>273</v>
      </c>
      <c r="C44" s="45" t="s">
        <v>457</v>
      </c>
      <c r="D44" s="44" t="s">
        <v>27</v>
      </c>
      <c r="E44" s="59">
        <f>E40</f>
        <v>905.98</v>
      </c>
      <c r="F44" s="58">
        <v>0</v>
      </c>
      <c r="G44" s="58">
        <v>1</v>
      </c>
      <c r="H44" s="135">
        <f t="shared" si="0"/>
        <v>0</v>
      </c>
      <c r="I44" s="41"/>
      <c r="J44" s="1"/>
    </row>
    <row r="45" spans="1:10" s="40" customFormat="1" ht="48">
      <c r="A45" s="43" t="s">
        <v>306</v>
      </c>
      <c r="B45" s="44" t="s">
        <v>274</v>
      </c>
      <c r="C45" s="45" t="s">
        <v>458</v>
      </c>
      <c r="D45" s="44" t="s">
        <v>27</v>
      </c>
      <c r="E45" s="59">
        <f>300.68+520</f>
        <v>820.6800000000001</v>
      </c>
      <c r="F45" s="58">
        <v>0</v>
      </c>
      <c r="G45" s="58">
        <v>1</v>
      </c>
      <c r="H45" s="135">
        <f t="shared" si="0"/>
        <v>0</v>
      </c>
      <c r="I45" s="41"/>
      <c r="J45" s="1"/>
    </row>
    <row r="46" spans="1:10" s="40" customFormat="1" ht="48">
      <c r="A46" s="43" t="s">
        <v>307</v>
      </c>
      <c r="B46" s="44" t="s">
        <v>120</v>
      </c>
      <c r="C46" s="45" t="s">
        <v>459</v>
      </c>
      <c r="D46" s="44" t="s">
        <v>27</v>
      </c>
      <c r="E46" s="59">
        <f>E45</f>
        <v>820.6800000000001</v>
      </c>
      <c r="F46" s="58">
        <v>0</v>
      </c>
      <c r="G46" s="58">
        <v>1</v>
      </c>
      <c r="H46" s="135">
        <f t="shared" si="0"/>
        <v>0</v>
      </c>
      <c r="I46" s="41"/>
      <c r="J46" s="1"/>
    </row>
    <row r="47" spans="1:10" s="40" customFormat="1" ht="50.25" customHeight="1">
      <c r="A47" s="43" t="s">
        <v>308</v>
      </c>
      <c r="B47" s="44" t="s">
        <v>276</v>
      </c>
      <c r="C47" s="45" t="s">
        <v>460</v>
      </c>
      <c r="D47" s="44" t="s">
        <v>1</v>
      </c>
      <c r="E47" s="59">
        <f>235+433</f>
        <v>668</v>
      </c>
      <c r="F47" s="58">
        <v>0</v>
      </c>
      <c r="G47" s="58">
        <v>1</v>
      </c>
      <c r="H47" s="135">
        <f t="shared" si="0"/>
        <v>0</v>
      </c>
      <c r="I47" s="41"/>
      <c r="J47" s="1"/>
    </row>
    <row r="48" spans="1:10" s="40" customFormat="1" ht="12.75">
      <c r="A48" s="96" t="s">
        <v>367</v>
      </c>
      <c r="B48" s="97"/>
      <c r="C48" s="97"/>
      <c r="D48" s="97"/>
      <c r="E48" s="97"/>
      <c r="F48" s="97"/>
      <c r="G48" s="97"/>
      <c r="H48" s="98"/>
      <c r="I48" s="41"/>
      <c r="J48" s="1"/>
    </row>
    <row r="49" spans="1:10" s="40" customFormat="1" ht="48.75" thickBot="1">
      <c r="A49" s="48" t="s">
        <v>368</v>
      </c>
      <c r="B49" s="49" t="s">
        <v>270</v>
      </c>
      <c r="C49" s="50" t="s">
        <v>461</v>
      </c>
      <c r="D49" s="49" t="s">
        <v>27</v>
      </c>
      <c r="E49" s="62">
        <f>51.5+57</f>
        <v>108.5</v>
      </c>
      <c r="F49" s="137">
        <v>0</v>
      </c>
      <c r="G49" s="137">
        <v>1</v>
      </c>
      <c r="H49" s="138">
        <f t="shared" si="0"/>
        <v>0</v>
      </c>
      <c r="I49" s="41"/>
      <c r="J49" s="1"/>
    </row>
    <row r="50" spans="1:10" s="40" customFormat="1" ht="84.75" thickTop="1">
      <c r="A50" s="53" t="s">
        <v>369</v>
      </c>
      <c r="B50" s="54" t="s">
        <v>271</v>
      </c>
      <c r="C50" s="55" t="s">
        <v>462</v>
      </c>
      <c r="D50" s="54" t="s">
        <v>27</v>
      </c>
      <c r="E50" s="63">
        <f>E49</f>
        <v>108.5</v>
      </c>
      <c r="F50" s="140">
        <v>0</v>
      </c>
      <c r="G50" s="140">
        <v>4</v>
      </c>
      <c r="H50" s="141">
        <f t="shared" si="0"/>
        <v>0</v>
      </c>
      <c r="I50" s="41"/>
      <c r="J50" s="1"/>
    </row>
    <row r="51" spans="1:10" s="40" customFormat="1" ht="84">
      <c r="A51" s="43" t="s">
        <v>370</v>
      </c>
      <c r="B51" s="44" t="s">
        <v>265</v>
      </c>
      <c r="C51" s="45" t="s">
        <v>463</v>
      </c>
      <c r="D51" s="44" t="s">
        <v>28</v>
      </c>
      <c r="E51" s="59">
        <f>21.115+17.67</f>
        <v>38.785</v>
      </c>
      <c r="F51" s="58">
        <v>0</v>
      </c>
      <c r="G51" s="58">
        <v>1</v>
      </c>
      <c r="H51" s="135">
        <f t="shared" si="0"/>
        <v>0</v>
      </c>
      <c r="I51" s="41"/>
      <c r="J51" s="1"/>
    </row>
    <row r="52" spans="1:10" s="40" customFormat="1" ht="48">
      <c r="A52" s="43" t="s">
        <v>309</v>
      </c>
      <c r="B52" s="44" t="s">
        <v>272</v>
      </c>
      <c r="C52" s="45" t="s">
        <v>464</v>
      </c>
      <c r="D52" s="44" t="s">
        <v>27</v>
      </c>
      <c r="E52" s="59">
        <f>E50</f>
        <v>108.5</v>
      </c>
      <c r="F52" s="58">
        <v>0</v>
      </c>
      <c r="G52" s="58">
        <v>1</v>
      </c>
      <c r="H52" s="135">
        <f t="shared" si="0"/>
        <v>0</v>
      </c>
      <c r="I52" s="41"/>
      <c r="J52" s="1"/>
    </row>
    <row r="53" spans="1:10" s="40" customFormat="1" ht="60">
      <c r="A53" s="43" t="s">
        <v>310</v>
      </c>
      <c r="B53" s="44" t="s">
        <v>273</v>
      </c>
      <c r="C53" s="45" t="s">
        <v>465</v>
      </c>
      <c r="D53" s="44" t="s">
        <v>27</v>
      </c>
      <c r="E53" s="59">
        <f>E50</f>
        <v>108.5</v>
      </c>
      <c r="F53" s="58">
        <v>0</v>
      </c>
      <c r="G53" s="58">
        <v>1</v>
      </c>
      <c r="H53" s="135">
        <f aca="true" t="shared" si="1" ref="H53:H59">ROUND(E53*F53*G53,2)</f>
        <v>0</v>
      </c>
      <c r="I53" s="41"/>
      <c r="J53" s="1"/>
    </row>
    <row r="54" spans="1:10" s="40" customFormat="1" ht="48">
      <c r="A54" s="43" t="s">
        <v>311</v>
      </c>
      <c r="B54" s="44" t="s">
        <v>274</v>
      </c>
      <c r="C54" s="45" t="s">
        <v>466</v>
      </c>
      <c r="D54" s="44" t="s">
        <v>27</v>
      </c>
      <c r="E54" s="59">
        <f>E50</f>
        <v>108.5</v>
      </c>
      <c r="F54" s="58">
        <v>0</v>
      </c>
      <c r="G54" s="58">
        <v>1</v>
      </c>
      <c r="H54" s="135">
        <f t="shared" si="1"/>
        <v>0</v>
      </c>
      <c r="I54" s="41"/>
      <c r="J54" s="1"/>
    </row>
    <row r="55" spans="1:10" s="40" customFormat="1" ht="72">
      <c r="A55" s="43" t="s">
        <v>312</v>
      </c>
      <c r="B55" s="44" t="s">
        <v>275</v>
      </c>
      <c r="C55" s="45" t="s">
        <v>467</v>
      </c>
      <c r="D55" s="44" t="s">
        <v>27</v>
      </c>
      <c r="E55" s="59">
        <f>E50</f>
        <v>108.5</v>
      </c>
      <c r="F55" s="58">
        <v>0</v>
      </c>
      <c r="G55" s="58">
        <v>5</v>
      </c>
      <c r="H55" s="135">
        <f t="shared" si="1"/>
        <v>0</v>
      </c>
      <c r="I55" s="41"/>
      <c r="J55" s="1"/>
    </row>
    <row r="56" spans="1:10" s="40" customFormat="1" ht="60">
      <c r="A56" s="43" t="s">
        <v>313</v>
      </c>
      <c r="B56" s="44" t="s">
        <v>120</v>
      </c>
      <c r="C56" s="45" t="s">
        <v>468</v>
      </c>
      <c r="D56" s="44" t="s">
        <v>27</v>
      </c>
      <c r="E56" s="59">
        <f>E50</f>
        <v>108.5</v>
      </c>
      <c r="F56" s="58">
        <v>0</v>
      </c>
      <c r="G56" s="58">
        <v>1</v>
      </c>
      <c r="H56" s="135">
        <f t="shared" si="1"/>
        <v>0</v>
      </c>
      <c r="I56" s="41"/>
      <c r="J56" s="1"/>
    </row>
    <row r="57" spans="1:10" s="40" customFormat="1" ht="60">
      <c r="A57" s="43" t="s">
        <v>314</v>
      </c>
      <c r="B57" s="44" t="s">
        <v>333</v>
      </c>
      <c r="C57" s="45" t="s">
        <v>469</v>
      </c>
      <c r="D57" s="44" t="s">
        <v>27</v>
      </c>
      <c r="E57" s="59">
        <f>12.5+45</f>
        <v>57.5</v>
      </c>
      <c r="F57" s="58">
        <v>0</v>
      </c>
      <c r="G57" s="58">
        <v>1</v>
      </c>
      <c r="H57" s="135">
        <f t="shared" si="1"/>
        <v>0</v>
      </c>
      <c r="I57" s="41"/>
      <c r="J57" s="1"/>
    </row>
    <row r="58" spans="1:10" s="40" customFormat="1" ht="48">
      <c r="A58" s="43" t="s">
        <v>315</v>
      </c>
      <c r="B58" s="44" t="s">
        <v>334</v>
      </c>
      <c r="C58" s="45" t="s">
        <v>470</v>
      </c>
      <c r="D58" s="44" t="s">
        <v>1</v>
      </c>
      <c r="E58" s="59">
        <f>55.5+76</f>
        <v>131.5</v>
      </c>
      <c r="F58" s="58">
        <v>0</v>
      </c>
      <c r="G58" s="58">
        <v>1</v>
      </c>
      <c r="H58" s="135">
        <f t="shared" si="1"/>
        <v>0</v>
      </c>
      <c r="I58" s="41"/>
      <c r="J58" s="1"/>
    </row>
    <row r="59" spans="1:10" s="40" customFormat="1" ht="49.5" customHeight="1">
      <c r="A59" s="43" t="s">
        <v>316</v>
      </c>
      <c r="B59" s="44" t="s">
        <v>121</v>
      </c>
      <c r="C59" s="45" t="s">
        <v>471</v>
      </c>
      <c r="D59" s="44" t="s">
        <v>28</v>
      </c>
      <c r="E59" s="59">
        <f>2.498+3.42</f>
        <v>5.918</v>
      </c>
      <c r="F59" s="58">
        <v>0</v>
      </c>
      <c r="G59" s="58">
        <v>1</v>
      </c>
      <c r="H59" s="135">
        <f t="shared" si="1"/>
        <v>0</v>
      </c>
      <c r="I59" s="41"/>
      <c r="J59" s="1"/>
    </row>
    <row r="60" spans="1:10" s="40" customFormat="1" ht="12.75">
      <c r="A60" s="96" t="s">
        <v>371</v>
      </c>
      <c r="B60" s="97"/>
      <c r="C60" s="97"/>
      <c r="D60" s="97"/>
      <c r="E60" s="97"/>
      <c r="F60" s="97"/>
      <c r="G60" s="97"/>
      <c r="H60" s="98"/>
      <c r="I60" s="41"/>
      <c r="J60" s="1"/>
    </row>
    <row r="61" spans="1:10" s="40" customFormat="1" ht="48">
      <c r="A61" s="43" t="s">
        <v>372</v>
      </c>
      <c r="B61" s="44" t="s">
        <v>270</v>
      </c>
      <c r="C61" s="78" t="s">
        <v>472</v>
      </c>
      <c r="D61" s="44" t="s">
        <v>27</v>
      </c>
      <c r="E61" s="59">
        <f>12.3+112</f>
        <v>124.3</v>
      </c>
      <c r="F61" s="58">
        <v>0</v>
      </c>
      <c r="G61" s="58">
        <v>1</v>
      </c>
      <c r="H61" s="135">
        <f aca="true" t="shared" si="2" ref="H61:H72">ROUND(E61*F61*G61,2)</f>
        <v>0</v>
      </c>
      <c r="I61" s="41"/>
      <c r="J61" s="1"/>
    </row>
    <row r="62" spans="1:10" s="40" customFormat="1" ht="84.75" thickBot="1">
      <c r="A62" s="48" t="s">
        <v>317</v>
      </c>
      <c r="B62" s="49" t="s">
        <v>271</v>
      </c>
      <c r="C62" s="79" t="s">
        <v>473</v>
      </c>
      <c r="D62" s="49" t="s">
        <v>27</v>
      </c>
      <c r="E62" s="62">
        <f>E61</f>
        <v>124.3</v>
      </c>
      <c r="F62" s="137">
        <v>0</v>
      </c>
      <c r="G62" s="137">
        <v>4</v>
      </c>
      <c r="H62" s="138">
        <f t="shared" si="2"/>
        <v>0</v>
      </c>
      <c r="I62" s="41"/>
      <c r="J62" s="1"/>
    </row>
    <row r="63" spans="1:10" s="40" customFormat="1" ht="84.75" thickTop="1">
      <c r="A63" s="53" t="s">
        <v>318</v>
      </c>
      <c r="B63" s="54" t="s">
        <v>265</v>
      </c>
      <c r="C63" s="55" t="s">
        <v>474</v>
      </c>
      <c r="D63" s="54" t="s">
        <v>28</v>
      </c>
      <c r="E63" s="63">
        <f>4.92+44.8</f>
        <v>49.72</v>
      </c>
      <c r="F63" s="140">
        <v>0</v>
      </c>
      <c r="G63" s="140">
        <v>1</v>
      </c>
      <c r="H63" s="141">
        <f t="shared" si="2"/>
        <v>0</v>
      </c>
      <c r="I63" s="41"/>
      <c r="J63" s="1"/>
    </row>
    <row r="64" spans="1:10" s="40" customFormat="1" ht="48">
      <c r="A64" s="43" t="s">
        <v>319</v>
      </c>
      <c r="B64" s="44" t="s">
        <v>272</v>
      </c>
      <c r="C64" s="45" t="s">
        <v>475</v>
      </c>
      <c r="D64" s="44" t="s">
        <v>27</v>
      </c>
      <c r="E64" s="59">
        <f>E62</f>
        <v>124.3</v>
      </c>
      <c r="F64" s="58">
        <v>0</v>
      </c>
      <c r="G64" s="58">
        <v>1</v>
      </c>
      <c r="H64" s="135">
        <f t="shared" si="2"/>
        <v>0</v>
      </c>
      <c r="I64" s="41"/>
      <c r="J64" s="1"/>
    </row>
    <row r="65" spans="1:10" s="40" customFormat="1" ht="60">
      <c r="A65" s="43" t="s">
        <v>320</v>
      </c>
      <c r="B65" s="44" t="s">
        <v>273</v>
      </c>
      <c r="C65" s="45" t="s">
        <v>476</v>
      </c>
      <c r="D65" s="44" t="s">
        <v>27</v>
      </c>
      <c r="E65" s="59">
        <f>E62</f>
        <v>124.3</v>
      </c>
      <c r="F65" s="58">
        <v>0</v>
      </c>
      <c r="G65" s="58">
        <v>1</v>
      </c>
      <c r="H65" s="135">
        <f t="shared" si="2"/>
        <v>0</v>
      </c>
      <c r="I65" s="41"/>
      <c r="J65" s="1"/>
    </row>
    <row r="66" spans="1:10" s="40" customFormat="1" ht="48">
      <c r="A66" s="43" t="s">
        <v>321</v>
      </c>
      <c r="B66" s="44" t="s">
        <v>274</v>
      </c>
      <c r="C66" s="45" t="s">
        <v>477</v>
      </c>
      <c r="D66" s="44" t="s">
        <v>27</v>
      </c>
      <c r="E66" s="59">
        <f>E62</f>
        <v>124.3</v>
      </c>
      <c r="F66" s="58">
        <v>0</v>
      </c>
      <c r="G66" s="58">
        <v>1</v>
      </c>
      <c r="H66" s="135">
        <f t="shared" si="2"/>
        <v>0</v>
      </c>
      <c r="I66" s="41"/>
      <c r="J66" s="1"/>
    </row>
    <row r="67" spans="1:10" s="40" customFormat="1" ht="72">
      <c r="A67" s="43" t="s">
        <v>322</v>
      </c>
      <c r="B67" s="44" t="s">
        <v>275</v>
      </c>
      <c r="C67" s="45" t="s">
        <v>478</v>
      </c>
      <c r="D67" s="44" t="s">
        <v>27</v>
      </c>
      <c r="E67" s="59">
        <f>E62</f>
        <v>124.3</v>
      </c>
      <c r="F67" s="58">
        <v>0</v>
      </c>
      <c r="G67" s="58">
        <v>5</v>
      </c>
      <c r="H67" s="135">
        <f t="shared" si="2"/>
        <v>0</v>
      </c>
      <c r="I67" s="41"/>
      <c r="J67" s="1"/>
    </row>
    <row r="68" spans="1:10" s="40" customFormat="1" ht="36">
      <c r="A68" s="43" t="s">
        <v>323</v>
      </c>
      <c r="B68" s="44" t="s">
        <v>129</v>
      </c>
      <c r="C68" s="45" t="s">
        <v>479</v>
      </c>
      <c r="D68" s="44" t="s">
        <v>27</v>
      </c>
      <c r="E68" s="59">
        <f>E61</f>
        <v>124.3</v>
      </c>
      <c r="F68" s="58">
        <v>0</v>
      </c>
      <c r="G68" s="58">
        <v>1</v>
      </c>
      <c r="H68" s="135">
        <f t="shared" si="2"/>
        <v>0</v>
      </c>
      <c r="I68" s="41"/>
      <c r="J68" s="1"/>
    </row>
    <row r="69" spans="1:10" s="40" customFormat="1" ht="60">
      <c r="A69" s="43" t="s">
        <v>324</v>
      </c>
      <c r="B69" s="44" t="s">
        <v>132</v>
      </c>
      <c r="C69" s="45" t="s">
        <v>480</v>
      </c>
      <c r="D69" s="44" t="s">
        <v>27</v>
      </c>
      <c r="E69" s="59">
        <f>E68</f>
        <v>124.3</v>
      </c>
      <c r="F69" s="58">
        <v>0</v>
      </c>
      <c r="G69" s="58">
        <v>1</v>
      </c>
      <c r="H69" s="135">
        <f t="shared" si="2"/>
        <v>0</v>
      </c>
      <c r="I69" s="41"/>
      <c r="J69" s="1"/>
    </row>
    <row r="70" spans="1:10" s="40" customFormat="1" ht="84">
      <c r="A70" s="43" t="s">
        <v>325</v>
      </c>
      <c r="B70" s="44" t="s">
        <v>131</v>
      </c>
      <c r="C70" s="45" t="s">
        <v>481</v>
      </c>
      <c r="D70" s="44" t="s">
        <v>27</v>
      </c>
      <c r="E70" s="59">
        <f>E69</f>
        <v>124.3</v>
      </c>
      <c r="F70" s="58">
        <v>0</v>
      </c>
      <c r="G70" s="58">
        <v>2</v>
      </c>
      <c r="H70" s="135">
        <f t="shared" si="2"/>
        <v>0</v>
      </c>
      <c r="I70" s="41"/>
      <c r="J70" s="1"/>
    </row>
    <row r="71" spans="1:10" s="40" customFormat="1" ht="48">
      <c r="A71" s="43" t="s">
        <v>373</v>
      </c>
      <c r="B71" s="44" t="s">
        <v>130</v>
      </c>
      <c r="C71" s="45" t="s">
        <v>482</v>
      </c>
      <c r="D71" s="44" t="s">
        <v>27</v>
      </c>
      <c r="E71" s="59">
        <f>E68</f>
        <v>124.3</v>
      </c>
      <c r="F71" s="58">
        <v>0</v>
      </c>
      <c r="G71" s="58">
        <v>1</v>
      </c>
      <c r="H71" s="135">
        <f t="shared" si="2"/>
        <v>0</v>
      </c>
      <c r="I71" s="41"/>
      <c r="J71" s="1"/>
    </row>
    <row r="72" spans="1:10" s="40" customFormat="1" ht="36">
      <c r="A72" s="43" t="s">
        <v>374</v>
      </c>
      <c r="B72" s="44" t="s">
        <v>129</v>
      </c>
      <c r="C72" s="45" t="s">
        <v>479</v>
      </c>
      <c r="D72" s="44" t="s">
        <v>27</v>
      </c>
      <c r="E72" s="59">
        <f>E68</f>
        <v>124.3</v>
      </c>
      <c r="F72" s="58">
        <v>0</v>
      </c>
      <c r="G72" s="58">
        <v>1</v>
      </c>
      <c r="H72" s="135">
        <f t="shared" si="2"/>
        <v>0</v>
      </c>
      <c r="I72" s="41"/>
      <c r="J72" s="1"/>
    </row>
    <row r="73" spans="1:10" s="40" customFormat="1" ht="60">
      <c r="A73" s="43" t="s">
        <v>375</v>
      </c>
      <c r="B73" s="44" t="s">
        <v>128</v>
      </c>
      <c r="C73" s="45" t="s">
        <v>483</v>
      </c>
      <c r="D73" s="44" t="s">
        <v>27</v>
      </c>
      <c r="E73" s="59">
        <f>E68</f>
        <v>124.3</v>
      </c>
      <c r="F73" s="58">
        <v>0</v>
      </c>
      <c r="G73" s="58">
        <v>1</v>
      </c>
      <c r="H73" s="135">
        <f t="shared" si="0"/>
        <v>0</v>
      </c>
      <c r="I73" s="41"/>
      <c r="J73" s="1"/>
    </row>
    <row r="74" spans="1:10" s="40" customFormat="1" ht="60">
      <c r="A74" s="43" t="s">
        <v>376</v>
      </c>
      <c r="B74" s="44" t="s">
        <v>127</v>
      </c>
      <c r="C74" s="45" t="s">
        <v>484</v>
      </c>
      <c r="D74" s="44" t="s">
        <v>27</v>
      </c>
      <c r="E74" s="59">
        <f>E68</f>
        <v>124.3</v>
      </c>
      <c r="F74" s="58">
        <v>0</v>
      </c>
      <c r="G74" s="58">
        <v>1</v>
      </c>
      <c r="H74" s="135">
        <f t="shared" si="0"/>
        <v>0</v>
      </c>
      <c r="I74" s="41"/>
      <c r="J74" s="1"/>
    </row>
    <row r="75" spans="1:10" s="40" customFormat="1" ht="48">
      <c r="A75" s="43" t="s">
        <v>378</v>
      </c>
      <c r="B75" s="44" t="s">
        <v>118</v>
      </c>
      <c r="C75" s="45" t="s">
        <v>415</v>
      </c>
      <c r="D75" s="44" t="s">
        <v>27</v>
      </c>
      <c r="E75" s="59">
        <v>13.9</v>
      </c>
      <c r="F75" s="58">
        <v>0</v>
      </c>
      <c r="G75" s="58">
        <v>1</v>
      </c>
      <c r="H75" s="135">
        <f>ROUND(E75*F75*G75,2)</f>
        <v>0</v>
      </c>
      <c r="I75" s="41"/>
      <c r="J75" s="1"/>
    </row>
    <row r="76" spans="1:10" s="40" customFormat="1" ht="72.75" thickBot="1">
      <c r="A76" s="48" t="s">
        <v>379</v>
      </c>
      <c r="B76" s="49" t="s">
        <v>119</v>
      </c>
      <c r="C76" s="50" t="s">
        <v>416</v>
      </c>
      <c r="D76" s="49" t="s">
        <v>27</v>
      </c>
      <c r="E76" s="62">
        <f>E75</f>
        <v>13.9</v>
      </c>
      <c r="F76" s="137">
        <v>0</v>
      </c>
      <c r="G76" s="137">
        <v>2</v>
      </c>
      <c r="H76" s="138">
        <f>ROUND(E76*F76*G76,2)</f>
        <v>0</v>
      </c>
      <c r="I76" s="41"/>
      <c r="J76" s="1"/>
    </row>
    <row r="77" spans="1:10" s="40" customFormat="1" ht="12.75" customHeight="1" thickTop="1">
      <c r="A77" s="106" t="s">
        <v>377</v>
      </c>
      <c r="B77" s="107"/>
      <c r="C77" s="107"/>
      <c r="D77" s="107"/>
      <c r="E77" s="107"/>
      <c r="F77" s="107"/>
      <c r="G77" s="107"/>
      <c r="H77" s="108"/>
      <c r="I77" s="41"/>
      <c r="J77" s="1"/>
    </row>
    <row r="78" spans="1:10" s="40" customFormat="1" ht="48">
      <c r="A78" s="43" t="s">
        <v>380</v>
      </c>
      <c r="B78" s="44" t="s">
        <v>335</v>
      </c>
      <c r="C78" s="45" t="s">
        <v>485</v>
      </c>
      <c r="D78" s="44" t="s">
        <v>28</v>
      </c>
      <c r="E78" s="59">
        <f>390.929+911.231</f>
        <v>1302.1599999999999</v>
      </c>
      <c r="F78" s="58">
        <v>0</v>
      </c>
      <c r="G78" s="58">
        <v>1</v>
      </c>
      <c r="H78" s="135">
        <f aca="true" t="shared" si="3" ref="H78:H109">ROUND(E78*F78*G78,2)</f>
        <v>0</v>
      </c>
      <c r="I78" s="41"/>
      <c r="J78" s="1"/>
    </row>
    <row r="79" spans="1:10" s="40" customFormat="1" ht="60">
      <c r="A79" s="43" t="s">
        <v>381</v>
      </c>
      <c r="B79" s="44" t="s">
        <v>107</v>
      </c>
      <c r="C79" s="45" t="s">
        <v>486</v>
      </c>
      <c r="D79" s="44" t="s">
        <v>27</v>
      </c>
      <c r="E79" s="59">
        <f>713.97+1670.51</f>
        <v>2384.48</v>
      </c>
      <c r="F79" s="58">
        <v>0</v>
      </c>
      <c r="G79" s="58">
        <v>1</v>
      </c>
      <c r="H79" s="135">
        <f t="shared" si="3"/>
        <v>0</v>
      </c>
      <c r="I79" s="41"/>
      <c r="J79" s="1"/>
    </row>
    <row r="80" spans="1:10" s="40" customFormat="1" ht="48">
      <c r="A80" s="43" t="s">
        <v>382</v>
      </c>
      <c r="B80" s="44" t="s">
        <v>336</v>
      </c>
      <c r="C80" s="45" t="s">
        <v>487</v>
      </c>
      <c r="D80" s="44" t="s">
        <v>27</v>
      </c>
      <c r="E80" s="59">
        <f>231.819+415.847</f>
        <v>647.6659999999999</v>
      </c>
      <c r="F80" s="58">
        <v>0</v>
      </c>
      <c r="G80" s="58">
        <v>1</v>
      </c>
      <c r="H80" s="135">
        <f t="shared" si="3"/>
        <v>0</v>
      </c>
      <c r="I80" s="41"/>
      <c r="J80" s="1"/>
    </row>
    <row r="81" spans="1:10" s="40" customFormat="1" ht="48">
      <c r="A81" s="43" t="s">
        <v>383</v>
      </c>
      <c r="B81" s="44" t="s">
        <v>337</v>
      </c>
      <c r="C81" s="45" t="s">
        <v>488</v>
      </c>
      <c r="D81" s="44" t="s">
        <v>24</v>
      </c>
      <c r="E81" s="59">
        <f>12+18</f>
        <v>30</v>
      </c>
      <c r="F81" s="58">
        <v>0</v>
      </c>
      <c r="G81" s="58">
        <v>1</v>
      </c>
      <c r="H81" s="135">
        <f t="shared" si="3"/>
        <v>0</v>
      </c>
      <c r="I81" s="41"/>
      <c r="J81" s="1"/>
    </row>
    <row r="82" spans="1:10" s="40" customFormat="1" ht="48">
      <c r="A82" s="43" t="s">
        <v>384</v>
      </c>
      <c r="B82" s="44" t="s">
        <v>403</v>
      </c>
      <c r="C82" s="45" t="s">
        <v>404</v>
      </c>
      <c r="D82" s="44" t="s">
        <v>24</v>
      </c>
      <c r="E82" s="59">
        <v>6</v>
      </c>
      <c r="F82" s="58">
        <v>0</v>
      </c>
      <c r="G82" s="58">
        <v>1</v>
      </c>
      <c r="H82" s="135">
        <f>ROUND(E82*F82*G82,2)</f>
        <v>0</v>
      </c>
      <c r="I82" s="41"/>
      <c r="J82" s="1"/>
    </row>
    <row r="83" spans="1:10" s="40" customFormat="1" ht="48">
      <c r="A83" s="43" t="s">
        <v>385</v>
      </c>
      <c r="B83" s="44" t="s">
        <v>402</v>
      </c>
      <c r="C83" s="45" t="s">
        <v>405</v>
      </c>
      <c r="D83" s="44" t="s">
        <v>340</v>
      </c>
      <c r="E83" s="59">
        <v>-12</v>
      </c>
      <c r="F83" s="58">
        <v>0</v>
      </c>
      <c r="G83" s="58">
        <v>1</v>
      </c>
      <c r="H83" s="135">
        <f>ROUND(E83*F83*G83,2)</f>
        <v>0</v>
      </c>
      <c r="I83" s="41"/>
      <c r="J83" s="1"/>
    </row>
    <row r="84" spans="1:10" s="40" customFormat="1" ht="48">
      <c r="A84" s="43" t="s">
        <v>386</v>
      </c>
      <c r="B84" s="44" t="s">
        <v>338</v>
      </c>
      <c r="C84" s="45" t="s">
        <v>489</v>
      </c>
      <c r="D84" s="44" t="s">
        <v>35</v>
      </c>
      <c r="E84" s="59">
        <f>6+4</f>
        <v>10</v>
      </c>
      <c r="F84" s="58">
        <v>0</v>
      </c>
      <c r="G84" s="58">
        <v>1</v>
      </c>
      <c r="H84" s="135">
        <f t="shared" si="3"/>
        <v>0</v>
      </c>
      <c r="I84" s="41"/>
      <c r="J84" s="1"/>
    </row>
    <row r="85" spans="1:10" s="40" customFormat="1" ht="48">
      <c r="A85" s="43" t="s">
        <v>387</v>
      </c>
      <c r="B85" s="44" t="s">
        <v>339</v>
      </c>
      <c r="C85" s="45" t="s">
        <v>490</v>
      </c>
      <c r="D85" s="44" t="s">
        <v>340</v>
      </c>
      <c r="E85" s="59">
        <f>-18-8</f>
        <v>-26</v>
      </c>
      <c r="F85" s="58">
        <v>0</v>
      </c>
      <c r="G85" s="58">
        <v>1</v>
      </c>
      <c r="H85" s="135">
        <f t="shared" si="3"/>
        <v>0</v>
      </c>
      <c r="I85" s="41"/>
      <c r="J85" s="1"/>
    </row>
    <row r="86" spans="1:10" s="40" customFormat="1" ht="36">
      <c r="A86" s="43" t="s">
        <v>388</v>
      </c>
      <c r="B86" s="44" t="s">
        <v>341</v>
      </c>
      <c r="C86" s="45" t="s">
        <v>491</v>
      </c>
      <c r="D86" s="44" t="s">
        <v>1</v>
      </c>
      <c r="E86" s="59">
        <f>20.57+35.61</f>
        <v>56.18</v>
      </c>
      <c r="F86" s="58">
        <v>0</v>
      </c>
      <c r="G86" s="58">
        <v>1</v>
      </c>
      <c r="H86" s="135">
        <f t="shared" si="3"/>
        <v>0</v>
      </c>
      <c r="I86" s="41"/>
      <c r="J86" s="1"/>
    </row>
    <row r="87" spans="1:10" s="40" customFormat="1" ht="36">
      <c r="A87" s="43" t="s">
        <v>389</v>
      </c>
      <c r="B87" s="44" t="s">
        <v>406</v>
      </c>
      <c r="C87" s="45" t="s">
        <v>407</v>
      </c>
      <c r="D87" s="44" t="s">
        <v>1</v>
      </c>
      <c r="E87" s="59">
        <v>240.5</v>
      </c>
      <c r="F87" s="58">
        <v>0</v>
      </c>
      <c r="G87" s="58">
        <v>1</v>
      </c>
      <c r="H87" s="135">
        <f>ROUND(E87*F87*G87,2)</f>
        <v>0</v>
      </c>
      <c r="I87" s="41"/>
      <c r="J87" s="1"/>
    </row>
    <row r="88" spans="1:10" s="40" customFormat="1" ht="36">
      <c r="A88" s="43" t="s">
        <v>390</v>
      </c>
      <c r="B88" s="44" t="s">
        <v>342</v>
      </c>
      <c r="C88" s="45" t="s">
        <v>492</v>
      </c>
      <c r="D88" s="44" t="s">
        <v>1</v>
      </c>
      <c r="E88" s="59">
        <f>128.75+150.42</f>
        <v>279.16999999999996</v>
      </c>
      <c r="F88" s="58">
        <v>0</v>
      </c>
      <c r="G88" s="58">
        <v>1</v>
      </c>
      <c r="H88" s="135">
        <f t="shared" si="3"/>
        <v>0</v>
      </c>
      <c r="I88" s="41"/>
      <c r="J88" s="1"/>
    </row>
    <row r="89" spans="1:10" s="40" customFormat="1" ht="36">
      <c r="A89" s="43" t="s">
        <v>391</v>
      </c>
      <c r="B89" s="44" t="s">
        <v>32</v>
      </c>
      <c r="C89" s="45" t="s">
        <v>343</v>
      </c>
      <c r="D89" s="44" t="s">
        <v>1</v>
      </c>
      <c r="E89" s="59">
        <v>88.67</v>
      </c>
      <c r="F89" s="58">
        <v>0</v>
      </c>
      <c r="G89" s="58">
        <v>1</v>
      </c>
      <c r="H89" s="135">
        <f t="shared" si="3"/>
        <v>0</v>
      </c>
      <c r="I89" s="41"/>
      <c r="J89" s="1"/>
    </row>
    <row r="90" spans="1:10" s="40" customFormat="1" ht="60">
      <c r="A90" s="43" t="s">
        <v>392</v>
      </c>
      <c r="B90" s="44" t="s">
        <v>344</v>
      </c>
      <c r="C90" s="45" t="s">
        <v>493</v>
      </c>
      <c r="D90" s="44" t="s">
        <v>28</v>
      </c>
      <c r="E90" s="59">
        <f>218.604+616.624</f>
        <v>835.2280000000001</v>
      </c>
      <c r="F90" s="58">
        <v>0</v>
      </c>
      <c r="G90" s="58">
        <v>1</v>
      </c>
      <c r="H90" s="135">
        <f t="shared" si="3"/>
        <v>0</v>
      </c>
      <c r="I90" s="41"/>
      <c r="J90" s="1"/>
    </row>
    <row r="91" spans="1:10" s="40" customFormat="1" ht="60">
      <c r="A91" s="43" t="s">
        <v>393</v>
      </c>
      <c r="B91" s="44" t="s">
        <v>345</v>
      </c>
      <c r="C91" s="45" t="s">
        <v>494</v>
      </c>
      <c r="D91" s="44" t="s">
        <v>28</v>
      </c>
      <c r="E91" s="59">
        <f>E90</f>
        <v>835.2280000000001</v>
      </c>
      <c r="F91" s="58">
        <v>0</v>
      </c>
      <c r="G91" s="58">
        <v>1</v>
      </c>
      <c r="H91" s="135">
        <f t="shared" si="3"/>
        <v>0</v>
      </c>
      <c r="I91" s="41"/>
      <c r="J91" s="1"/>
    </row>
    <row r="92" spans="1:10" s="40" customFormat="1" ht="84">
      <c r="A92" s="43" t="s">
        <v>394</v>
      </c>
      <c r="B92" s="44" t="s">
        <v>346</v>
      </c>
      <c r="C92" s="45" t="s">
        <v>495</v>
      </c>
      <c r="D92" s="44" t="s">
        <v>28</v>
      </c>
      <c r="E92" s="59">
        <f>E90</f>
        <v>835.2280000000001</v>
      </c>
      <c r="F92" s="58">
        <v>0</v>
      </c>
      <c r="G92" s="58">
        <v>1</v>
      </c>
      <c r="H92" s="135">
        <f t="shared" si="3"/>
        <v>0</v>
      </c>
      <c r="I92" s="41"/>
      <c r="J92" s="1"/>
    </row>
    <row r="93" spans="1:10" s="40" customFormat="1" ht="48.75" thickBot="1">
      <c r="A93" s="48" t="s">
        <v>410</v>
      </c>
      <c r="B93" s="49" t="s">
        <v>347</v>
      </c>
      <c r="C93" s="50" t="s">
        <v>348</v>
      </c>
      <c r="D93" s="49" t="s">
        <v>349</v>
      </c>
      <c r="E93" s="62">
        <v>1</v>
      </c>
      <c r="F93" s="137">
        <v>0</v>
      </c>
      <c r="G93" s="137">
        <v>1</v>
      </c>
      <c r="H93" s="138">
        <f t="shared" si="3"/>
        <v>0</v>
      </c>
      <c r="I93" s="41"/>
      <c r="J93" s="1"/>
    </row>
    <row r="94" spans="1:10" s="40" customFormat="1" ht="48.75" thickTop="1">
      <c r="A94" s="53" t="s">
        <v>411</v>
      </c>
      <c r="B94" s="54" t="s">
        <v>25</v>
      </c>
      <c r="C94" s="55" t="s">
        <v>350</v>
      </c>
      <c r="D94" s="54" t="s">
        <v>260</v>
      </c>
      <c r="E94" s="63">
        <v>1</v>
      </c>
      <c r="F94" s="140">
        <v>0</v>
      </c>
      <c r="G94" s="140">
        <v>1</v>
      </c>
      <c r="H94" s="141">
        <f t="shared" si="3"/>
        <v>0</v>
      </c>
      <c r="I94" s="41"/>
      <c r="J94" s="1"/>
    </row>
    <row r="95" spans="1:10" s="40" customFormat="1" ht="48">
      <c r="A95" s="43" t="s">
        <v>412</v>
      </c>
      <c r="B95" s="44" t="s">
        <v>351</v>
      </c>
      <c r="C95" s="45" t="s">
        <v>352</v>
      </c>
      <c r="D95" s="44" t="s">
        <v>349</v>
      </c>
      <c r="E95" s="59">
        <v>1</v>
      </c>
      <c r="F95" s="58">
        <v>0</v>
      </c>
      <c r="G95" s="58">
        <v>1</v>
      </c>
      <c r="H95" s="135">
        <f t="shared" si="3"/>
        <v>0</v>
      </c>
      <c r="I95" s="41"/>
      <c r="J95" s="1"/>
    </row>
    <row r="96" spans="1:10" s="40" customFormat="1" ht="48">
      <c r="A96" s="43" t="s">
        <v>418</v>
      </c>
      <c r="B96" s="44" t="s">
        <v>353</v>
      </c>
      <c r="C96" s="45" t="s">
        <v>354</v>
      </c>
      <c r="D96" s="44" t="s">
        <v>27</v>
      </c>
      <c r="E96" s="59">
        <v>29</v>
      </c>
      <c r="F96" s="58">
        <v>0</v>
      </c>
      <c r="G96" s="58">
        <v>1</v>
      </c>
      <c r="H96" s="135">
        <f t="shared" si="3"/>
        <v>0</v>
      </c>
      <c r="I96" s="41"/>
      <c r="J96" s="1"/>
    </row>
    <row r="97" spans="1:10" s="40" customFormat="1" ht="48">
      <c r="A97" s="43" t="s">
        <v>419</v>
      </c>
      <c r="B97" s="44" t="s">
        <v>329</v>
      </c>
      <c r="C97" s="45" t="s">
        <v>408</v>
      </c>
      <c r="D97" s="44" t="s">
        <v>260</v>
      </c>
      <c r="E97" s="59">
        <v>1</v>
      </c>
      <c r="F97" s="58">
        <v>0</v>
      </c>
      <c r="G97" s="58">
        <v>1</v>
      </c>
      <c r="H97" s="135">
        <f t="shared" si="3"/>
        <v>0</v>
      </c>
      <c r="I97" s="41"/>
      <c r="J97" s="1"/>
    </row>
    <row r="98" spans="1:10" s="40" customFormat="1" ht="12.75" customHeight="1">
      <c r="A98" s="96" t="s">
        <v>395</v>
      </c>
      <c r="B98" s="97"/>
      <c r="C98" s="97"/>
      <c r="D98" s="97"/>
      <c r="E98" s="97"/>
      <c r="F98" s="97"/>
      <c r="G98" s="97"/>
      <c r="H98" s="98"/>
      <c r="I98" s="41"/>
      <c r="J98" s="1"/>
    </row>
    <row r="99" spans="1:10" s="40" customFormat="1" ht="48">
      <c r="A99" s="43" t="s">
        <v>396</v>
      </c>
      <c r="B99" s="44" t="s">
        <v>355</v>
      </c>
      <c r="C99" s="45" t="s">
        <v>496</v>
      </c>
      <c r="D99" s="44" t="s">
        <v>28</v>
      </c>
      <c r="E99" s="59">
        <f>9+50.85</f>
        <v>59.85</v>
      </c>
      <c r="F99" s="58">
        <v>0</v>
      </c>
      <c r="G99" s="58">
        <v>1</v>
      </c>
      <c r="H99" s="135">
        <f t="shared" si="3"/>
        <v>0</v>
      </c>
      <c r="I99" s="41"/>
      <c r="J99" s="1"/>
    </row>
    <row r="100" spans="1:10" s="40" customFormat="1" ht="48">
      <c r="A100" s="43" t="s">
        <v>397</v>
      </c>
      <c r="B100" s="44" t="s">
        <v>356</v>
      </c>
      <c r="C100" s="45" t="s">
        <v>497</v>
      </c>
      <c r="D100" s="44" t="s">
        <v>28</v>
      </c>
      <c r="E100" s="59">
        <f>1.2+6.78</f>
        <v>7.98</v>
      </c>
      <c r="F100" s="58">
        <v>0</v>
      </c>
      <c r="G100" s="58">
        <v>1</v>
      </c>
      <c r="H100" s="135">
        <f t="shared" si="3"/>
        <v>0</v>
      </c>
      <c r="I100" s="41"/>
      <c r="J100" s="1"/>
    </row>
    <row r="101" spans="1:10" s="40" customFormat="1" ht="48">
      <c r="A101" s="43" t="s">
        <v>398</v>
      </c>
      <c r="B101" s="44" t="s">
        <v>356</v>
      </c>
      <c r="C101" s="45" t="s">
        <v>498</v>
      </c>
      <c r="D101" s="44" t="s">
        <v>28</v>
      </c>
      <c r="E101" s="59">
        <f>1.2+6.78</f>
        <v>7.98</v>
      </c>
      <c r="F101" s="58">
        <v>0</v>
      </c>
      <c r="G101" s="58">
        <v>1</v>
      </c>
      <c r="H101" s="135">
        <f t="shared" si="3"/>
        <v>0</v>
      </c>
      <c r="I101" s="41"/>
      <c r="J101" s="1"/>
    </row>
    <row r="102" spans="1:10" s="40" customFormat="1" ht="72">
      <c r="A102" s="43" t="s">
        <v>399</v>
      </c>
      <c r="B102" s="44" t="s">
        <v>357</v>
      </c>
      <c r="C102" s="45" t="s">
        <v>499</v>
      </c>
      <c r="D102" s="44" t="s">
        <v>260</v>
      </c>
      <c r="E102" s="59">
        <f>2+1</f>
        <v>3</v>
      </c>
      <c r="F102" s="58">
        <v>0</v>
      </c>
      <c r="G102" s="58">
        <v>1</v>
      </c>
      <c r="H102" s="135">
        <f t="shared" si="3"/>
        <v>0</v>
      </c>
      <c r="I102" s="41"/>
      <c r="J102" s="1"/>
    </row>
    <row r="103" spans="1:10" s="40" customFormat="1" ht="72">
      <c r="A103" s="43" t="s">
        <v>401</v>
      </c>
      <c r="B103" s="44" t="s">
        <v>357</v>
      </c>
      <c r="C103" s="45" t="s">
        <v>409</v>
      </c>
      <c r="D103" s="44" t="s">
        <v>260</v>
      </c>
      <c r="E103" s="59">
        <v>5</v>
      </c>
      <c r="F103" s="58">
        <v>0</v>
      </c>
      <c r="G103" s="58">
        <v>1</v>
      </c>
      <c r="H103" s="135">
        <f>ROUND(E103*F103*G103,2)</f>
        <v>0</v>
      </c>
      <c r="I103" s="41"/>
      <c r="J103" s="1"/>
    </row>
    <row r="104" spans="1:10" s="40" customFormat="1" ht="72">
      <c r="A104" s="43" t="s">
        <v>413</v>
      </c>
      <c r="B104" s="44" t="s">
        <v>357</v>
      </c>
      <c r="C104" s="45" t="s">
        <v>417</v>
      </c>
      <c r="D104" s="44" t="s">
        <v>260</v>
      </c>
      <c r="E104" s="59">
        <v>5</v>
      </c>
      <c r="F104" s="58">
        <v>0</v>
      </c>
      <c r="G104" s="58">
        <v>1</v>
      </c>
      <c r="H104" s="135">
        <f>ROUND(E104*F104*G104,2)</f>
        <v>0</v>
      </c>
      <c r="I104" s="41"/>
      <c r="J104" s="1"/>
    </row>
    <row r="105" spans="1:10" s="40" customFormat="1" ht="48">
      <c r="A105" s="43" t="s">
        <v>414</v>
      </c>
      <c r="B105" s="44" t="s">
        <v>358</v>
      </c>
      <c r="C105" s="45" t="s">
        <v>500</v>
      </c>
      <c r="D105" s="44" t="s">
        <v>1</v>
      </c>
      <c r="E105" s="59">
        <f>10+56.5</f>
        <v>66.5</v>
      </c>
      <c r="F105" s="58">
        <v>0</v>
      </c>
      <c r="G105" s="58">
        <v>1</v>
      </c>
      <c r="H105" s="135">
        <f t="shared" si="3"/>
        <v>0</v>
      </c>
      <c r="I105" s="41"/>
      <c r="J105" s="1"/>
    </row>
    <row r="106" spans="1:10" s="40" customFormat="1" ht="60">
      <c r="A106" s="43" t="s">
        <v>420</v>
      </c>
      <c r="B106" s="44" t="s">
        <v>359</v>
      </c>
      <c r="C106" s="45" t="s">
        <v>501</v>
      </c>
      <c r="D106" s="44" t="s">
        <v>1</v>
      </c>
      <c r="E106" s="59">
        <f>10+56.5</f>
        <v>66.5</v>
      </c>
      <c r="F106" s="58">
        <v>0</v>
      </c>
      <c r="G106" s="58">
        <v>1</v>
      </c>
      <c r="H106" s="135">
        <f t="shared" si="3"/>
        <v>0</v>
      </c>
      <c r="I106" s="41"/>
      <c r="J106" s="1"/>
    </row>
    <row r="107" spans="1:10" s="40" customFormat="1" ht="48">
      <c r="A107" s="43" t="s">
        <v>421</v>
      </c>
      <c r="B107" s="44" t="s">
        <v>360</v>
      </c>
      <c r="C107" s="45" t="s">
        <v>502</v>
      </c>
      <c r="D107" s="44" t="s">
        <v>24</v>
      </c>
      <c r="E107" s="59">
        <f>2+11</f>
        <v>13</v>
      </c>
      <c r="F107" s="58">
        <v>0</v>
      </c>
      <c r="G107" s="58">
        <v>1</v>
      </c>
      <c r="H107" s="135">
        <f>ROUND(E107*F107*G107,2)</f>
        <v>0</v>
      </c>
      <c r="I107" s="41"/>
      <c r="J107" s="1"/>
    </row>
    <row r="108" spans="1:10" s="40" customFormat="1" ht="48">
      <c r="A108" s="43" t="s">
        <v>422</v>
      </c>
      <c r="B108" s="44" t="s">
        <v>361</v>
      </c>
      <c r="C108" s="45" t="s">
        <v>503</v>
      </c>
      <c r="D108" s="44" t="s">
        <v>1</v>
      </c>
      <c r="E108" s="59">
        <f>10+56.5</f>
        <v>66.5</v>
      </c>
      <c r="F108" s="58">
        <v>0</v>
      </c>
      <c r="G108" s="58">
        <v>1</v>
      </c>
      <c r="H108" s="135">
        <f t="shared" si="3"/>
        <v>0</v>
      </c>
      <c r="I108" s="41"/>
      <c r="J108" s="1"/>
    </row>
    <row r="109" spans="1:10" s="40" customFormat="1" ht="48.75" thickBot="1">
      <c r="A109" s="48" t="s">
        <v>423</v>
      </c>
      <c r="B109" s="49" t="s">
        <v>362</v>
      </c>
      <c r="C109" s="50" t="s">
        <v>504</v>
      </c>
      <c r="D109" s="49" t="s">
        <v>28</v>
      </c>
      <c r="E109" s="62">
        <f>5.38+53.87</f>
        <v>59.25</v>
      </c>
      <c r="F109" s="137">
        <v>0</v>
      </c>
      <c r="G109" s="137">
        <v>1</v>
      </c>
      <c r="H109" s="138">
        <f t="shared" si="3"/>
        <v>0</v>
      </c>
      <c r="I109" s="41"/>
      <c r="J109" s="1"/>
    </row>
    <row r="110" spans="1:10" s="40" customFormat="1" ht="13.5" thickTop="1">
      <c r="A110" s="106" t="s">
        <v>400</v>
      </c>
      <c r="B110" s="107"/>
      <c r="C110" s="107"/>
      <c r="D110" s="107"/>
      <c r="E110" s="107"/>
      <c r="F110" s="107"/>
      <c r="G110" s="107"/>
      <c r="H110" s="108"/>
      <c r="I110" s="41"/>
      <c r="J110" s="1"/>
    </row>
    <row r="111" spans="1:10" s="40" customFormat="1" ht="48">
      <c r="A111" s="43" t="s">
        <v>424</v>
      </c>
      <c r="B111" s="44" t="s">
        <v>301</v>
      </c>
      <c r="C111" s="45" t="s">
        <v>505</v>
      </c>
      <c r="D111" s="44" t="s">
        <v>27</v>
      </c>
      <c r="E111" s="59">
        <f>415+415</f>
        <v>830</v>
      </c>
      <c r="F111" s="58">
        <v>0</v>
      </c>
      <c r="G111" s="58">
        <v>1</v>
      </c>
      <c r="H111" s="135">
        <f>ROUND(E111*F111*G111,2)</f>
        <v>0</v>
      </c>
      <c r="I111" s="41"/>
      <c r="J111" s="1"/>
    </row>
    <row r="112" spans="1:10" s="40" customFormat="1" ht="48">
      <c r="A112" s="43" t="s">
        <v>425</v>
      </c>
      <c r="B112" s="44" t="s">
        <v>26</v>
      </c>
      <c r="C112" s="45" t="s">
        <v>506</v>
      </c>
      <c r="D112" s="44" t="s">
        <v>24</v>
      </c>
      <c r="E112" s="59">
        <f>15+15</f>
        <v>30</v>
      </c>
      <c r="F112" s="58">
        <v>0</v>
      </c>
      <c r="G112" s="58">
        <v>1</v>
      </c>
      <c r="H112" s="135">
        <f>ROUND(E112*F112*G112,2)</f>
        <v>0</v>
      </c>
      <c r="I112" s="41"/>
      <c r="J112" s="1"/>
    </row>
    <row r="113" spans="1:10" s="40" customFormat="1" ht="73.5" customHeight="1">
      <c r="A113" s="43" t="s">
        <v>426</v>
      </c>
      <c r="B113" s="44" t="s">
        <v>363</v>
      </c>
      <c r="C113" s="45" t="s">
        <v>507</v>
      </c>
      <c r="D113" s="44" t="s">
        <v>24</v>
      </c>
      <c r="E113" s="59">
        <f>6+6</f>
        <v>12</v>
      </c>
      <c r="F113" s="58">
        <v>0</v>
      </c>
      <c r="G113" s="58">
        <v>1</v>
      </c>
      <c r="H113" s="135">
        <f>ROUND(E113*F113*G113,2)</f>
        <v>0</v>
      </c>
      <c r="I113" s="41"/>
      <c r="J113" s="1"/>
    </row>
    <row r="114" spans="1:10" ht="13.5" thickBot="1">
      <c r="A114" s="80" t="s">
        <v>11</v>
      </c>
      <c r="B114" s="81"/>
      <c r="C114" s="81"/>
      <c r="D114" s="81"/>
      <c r="E114" s="81"/>
      <c r="F114" s="82"/>
      <c r="G114" s="17"/>
      <c r="H114" s="76">
        <f>H9+H10+H11+H12+H13+H15+H16+H17+H18+H19+H20+H22+H23+H24+H25+H26+H27+H28+H29+H30+H31+H32+H33+H34+H35+H36+H37+H38+H40+H41+H42+H43+H44+H45+H46+H47+H49+H50+H51+H52+H53+H54+H55+H56+H57+H58+H59+H61+H62+H63+H64+H65+H66+H67+H68+H69+H70+H71+H72+H73+H74+H75+H76+H78+H79+H80+H81+H82+H83+H84+H85+H86+H87+H88+H89+H90+H91+H92+H93+H94+H95+H96+H97+H99+H100+H101+H102+H103+H104+H105+H106+H107+H108+H109+H111+H112+H113</f>
        <v>0</v>
      </c>
      <c r="I114" s="1"/>
      <c r="J114" s="1"/>
    </row>
    <row r="115" spans="1:9" ht="8.25" customHeight="1" thickTop="1">
      <c r="A115" s="12"/>
      <c r="B115" s="13"/>
      <c r="C115" s="14"/>
      <c r="D115" s="13"/>
      <c r="E115" s="15"/>
      <c r="F115" s="16"/>
      <c r="G115" s="16"/>
      <c r="H115" s="16"/>
      <c r="I115" s="1"/>
    </row>
    <row r="116" spans="1:10" ht="25.5" customHeight="1">
      <c r="A116" s="90" t="s">
        <v>12</v>
      </c>
      <c r="B116" s="90"/>
      <c r="C116" s="90"/>
      <c r="D116" s="90"/>
      <c r="E116" s="90"/>
      <c r="F116" s="90"/>
      <c r="G116" s="90"/>
      <c r="H116" s="90"/>
      <c r="I116" s="1"/>
      <c r="J116" s="1"/>
    </row>
    <row r="117" spans="1:9" ht="9.75" customHeight="1">
      <c r="A117" s="42"/>
      <c r="B117" s="42"/>
      <c r="C117" s="42"/>
      <c r="D117" s="42"/>
      <c r="E117" s="42"/>
      <c r="F117" s="42"/>
      <c r="G117" s="42"/>
      <c r="H117" s="42"/>
      <c r="I117" s="1"/>
    </row>
    <row r="118" spans="1:9" ht="25.5" customHeight="1">
      <c r="A118" s="105" t="s">
        <v>427</v>
      </c>
      <c r="B118" s="105"/>
      <c r="C118" s="105"/>
      <c r="D118" s="105"/>
      <c r="E118" s="105"/>
      <c r="F118" s="105"/>
      <c r="G118" s="105"/>
      <c r="H118" s="105"/>
      <c r="I118" s="1"/>
    </row>
    <row r="119" spans="1:9" ht="11.25" customHeight="1" thickBot="1">
      <c r="A119" s="12"/>
      <c r="B119" s="13"/>
      <c r="C119" s="14"/>
      <c r="D119" s="13"/>
      <c r="E119" s="15"/>
      <c r="F119" s="16"/>
      <c r="G119" s="16"/>
      <c r="H119" s="16"/>
      <c r="I119" s="1"/>
    </row>
    <row r="120" spans="1:9" ht="13.5" thickBot="1">
      <c r="A120" s="91" t="s">
        <v>13</v>
      </c>
      <c r="B120" s="92"/>
      <c r="C120" s="99"/>
      <c r="D120" s="100"/>
      <c r="E120" s="100"/>
      <c r="F120" s="100"/>
      <c r="G120" s="101"/>
      <c r="H120" s="2"/>
      <c r="I120" s="2"/>
    </row>
    <row r="121" spans="1:9" ht="13.5" thickBot="1">
      <c r="A121" s="19"/>
      <c r="B121" s="19"/>
      <c r="C121" s="102"/>
      <c r="D121" s="103"/>
      <c r="E121" s="103"/>
      <c r="F121" s="103"/>
      <c r="G121" s="104"/>
      <c r="H121" s="2"/>
      <c r="I121" s="2"/>
    </row>
    <row r="122" spans="1:9" ht="12.75">
      <c r="A122" s="19"/>
      <c r="B122" s="19"/>
      <c r="C122" s="75"/>
      <c r="D122" s="75"/>
      <c r="E122" s="75"/>
      <c r="F122" s="75"/>
      <c r="G122" s="75"/>
      <c r="H122" s="2"/>
      <c r="I122" s="2"/>
    </row>
    <row r="123" ht="9.75" customHeight="1" thickBot="1"/>
    <row r="124" spans="1:8" ht="20.25" customHeight="1">
      <c r="A124" s="21"/>
      <c r="B124" s="22"/>
      <c r="C124" s="23" t="s">
        <v>14</v>
      </c>
      <c r="D124" s="24"/>
      <c r="E124" s="25" t="s">
        <v>15</v>
      </c>
      <c r="F124" s="22"/>
      <c r="G124" s="22"/>
      <c r="H124" s="26"/>
    </row>
    <row r="125" spans="1:8" ht="8.25" customHeight="1">
      <c r="A125" s="27"/>
      <c r="B125" s="28"/>
      <c r="C125" s="29"/>
      <c r="D125" s="30"/>
      <c r="E125" s="31"/>
      <c r="F125" s="28"/>
      <c r="G125" s="28"/>
      <c r="H125" s="32"/>
    </row>
    <row r="126" spans="1:8" ht="12.75">
      <c r="A126" s="27"/>
      <c r="B126" s="28"/>
      <c r="C126" s="33" t="s">
        <v>16</v>
      </c>
      <c r="D126" s="30"/>
      <c r="E126" s="31"/>
      <c r="F126" s="28"/>
      <c r="G126" s="28"/>
      <c r="H126" s="32"/>
    </row>
    <row r="127" spans="1:8" ht="18.75" customHeight="1">
      <c r="A127" s="27"/>
      <c r="B127" s="28"/>
      <c r="C127" s="33" t="s">
        <v>17</v>
      </c>
      <c r="D127" s="34"/>
      <c r="E127" s="83" t="s">
        <v>18</v>
      </c>
      <c r="F127" s="83"/>
      <c r="G127" s="83"/>
      <c r="H127" s="84"/>
    </row>
    <row r="128" spans="1:8" ht="21" customHeight="1">
      <c r="A128" s="27"/>
      <c r="B128" s="28"/>
      <c r="C128" s="33" t="s">
        <v>19</v>
      </c>
      <c r="D128" s="34"/>
      <c r="E128" s="83" t="s">
        <v>20</v>
      </c>
      <c r="F128" s="83"/>
      <c r="G128" s="83"/>
      <c r="H128" s="84"/>
    </row>
    <row r="129" spans="1:8" ht="21" customHeight="1">
      <c r="A129" s="27"/>
      <c r="B129" s="28"/>
      <c r="C129" s="33" t="s">
        <v>21</v>
      </c>
      <c r="D129" s="34"/>
      <c r="E129" s="85" t="s">
        <v>22</v>
      </c>
      <c r="F129" s="85"/>
      <c r="G129" s="85"/>
      <c r="H129" s="86"/>
    </row>
    <row r="130" spans="1:8" ht="3.75" customHeight="1" thickBot="1">
      <c r="A130" s="35"/>
      <c r="B130" s="36"/>
      <c r="C130" s="37"/>
      <c r="D130" s="38"/>
      <c r="E130" s="38"/>
      <c r="F130" s="36"/>
      <c r="G130" s="36"/>
      <c r="H130" s="39"/>
    </row>
  </sheetData>
  <sheetProtection/>
  <mergeCells count="20">
    <mergeCell ref="C120:G121"/>
    <mergeCell ref="A118:H118"/>
    <mergeCell ref="A110:H110"/>
    <mergeCell ref="A77:H77"/>
    <mergeCell ref="A98:H98"/>
    <mergeCell ref="A2:H2"/>
    <mergeCell ref="A8:H8"/>
    <mergeCell ref="A3:H4"/>
    <mergeCell ref="A14:H14"/>
    <mergeCell ref="A21:H21"/>
    <mergeCell ref="A114:F114"/>
    <mergeCell ref="E127:H127"/>
    <mergeCell ref="E128:H128"/>
    <mergeCell ref="E129:H129"/>
    <mergeCell ref="A7:H7"/>
    <mergeCell ref="A116:H116"/>
    <mergeCell ref="A120:B120"/>
    <mergeCell ref="A39:H39"/>
    <mergeCell ref="A48:H48"/>
    <mergeCell ref="A60:H60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9.625" style="0" customWidth="1"/>
    <col min="7" max="7" width="8.25390625" style="0" customWidth="1"/>
    <col min="8" max="8" width="10.875" style="0" customWidth="1"/>
    <col min="9" max="9" width="12.25390625" style="0" bestFit="1" customWidth="1"/>
    <col min="10" max="10" width="12.125" style="0" bestFit="1" customWidth="1"/>
  </cols>
  <sheetData>
    <row r="1" ht="12.75">
      <c r="H1" s="20" t="s">
        <v>259</v>
      </c>
    </row>
    <row r="2" spans="1:9" ht="12.75" customHeight="1">
      <c r="A2" s="109" t="s">
        <v>3</v>
      </c>
      <c r="B2" s="109"/>
      <c r="C2" s="109"/>
      <c r="D2" s="109"/>
      <c r="E2" s="109"/>
      <c r="F2" s="109"/>
      <c r="G2" s="109"/>
      <c r="H2" s="109"/>
      <c r="I2" s="11"/>
    </row>
    <row r="3" spans="1:9" ht="10.5" customHeight="1">
      <c r="A3" s="109" t="s">
        <v>258</v>
      </c>
      <c r="B3" s="109"/>
      <c r="C3" s="109"/>
      <c r="D3" s="109"/>
      <c r="E3" s="109"/>
      <c r="F3" s="109"/>
      <c r="G3" s="109"/>
      <c r="H3" s="109"/>
      <c r="I3" s="11"/>
    </row>
    <row r="4" spans="1:8" ht="4.5" customHeight="1" thickBot="1">
      <c r="A4" s="115"/>
      <c r="B4" s="115"/>
      <c r="C4" s="115"/>
      <c r="D4" s="115"/>
      <c r="E4" s="115"/>
      <c r="F4" s="115"/>
      <c r="G4" s="115"/>
      <c r="H4" s="115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4.25" hidden="1" thickBot="1" thickTop="1">
      <c r="A7" s="87" t="s">
        <v>102</v>
      </c>
      <c r="B7" s="88"/>
      <c r="C7" s="88"/>
      <c r="D7" s="88"/>
      <c r="E7" s="88"/>
      <c r="F7" s="88"/>
      <c r="G7" s="88"/>
      <c r="H7" s="89"/>
    </row>
    <row r="8" spans="1:8" ht="13.5" thickTop="1">
      <c r="A8" s="116" t="s">
        <v>39</v>
      </c>
      <c r="B8" s="117"/>
      <c r="C8" s="117"/>
      <c r="D8" s="117"/>
      <c r="E8" s="117"/>
      <c r="F8" s="117"/>
      <c r="G8" s="117"/>
      <c r="H8" s="118"/>
    </row>
    <row r="9" spans="1:8" ht="12.75">
      <c r="A9" s="119" t="s">
        <v>94</v>
      </c>
      <c r="B9" s="120"/>
      <c r="C9" s="120"/>
      <c r="D9" s="120"/>
      <c r="E9" s="120"/>
      <c r="F9" s="120"/>
      <c r="G9" s="120"/>
      <c r="H9" s="121"/>
    </row>
    <row r="10" spans="1:10" ht="34.5" customHeight="1">
      <c r="A10" s="43" t="s">
        <v>40</v>
      </c>
      <c r="B10" s="44" t="s">
        <v>103</v>
      </c>
      <c r="C10" s="45" t="s">
        <v>158</v>
      </c>
      <c r="D10" s="44" t="s">
        <v>0</v>
      </c>
      <c r="E10" s="59">
        <v>0.16</v>
      </c>
      <c r="F10" s="71">
        <v>1000</v>
      </c>
      <c r="G10" s="47">
        <v>1</v>
      </c>
      <c r="H10" s="46">
        <f>ROUND(E10*F10*G10,2)</f>
        <v>160</v>
      </c>
      <c r="I10">
        <v>2747.69</v>
      </c>
      <c r="J10" s="1">
        <f>E10*I10*G10</f>
        <v>439.6304</v>
      </c>
    </row>
    <row r="11" spans="1:10" ht="46.5" customHeight="1">
      <c r="A11" s="43" t="s">
        <v>42</v>
      </c>
      <c r="B11" s="44" t="s">
        <v>103</v>
      </c>
      <c r="C11" s="45" t="s">
        <v>159</v>
      </c>
      <c r="D11" s="44" t="s">
        <v>0</v>
      </c>
      <c r="E11" s="59">
        <v>0.16</v>
      </c>
      <c r="F11" s="71">
        <v>10000</v>
      </c>
      <c r="G11" s="47">
        <v>1</v>
      </c>
      <c r="H11" s="46">
        <f aca="true" t="shared" si="0" ref="H11:H33">ROUND(E11*F11*G11,2)</f>
        <v>1600</v>
      </c>
      <c r="I11">
        <v>2747.69</v>
      </c>
      <c r="J11" s="1">
        <f aca="true" t="shared" si="1" ref="J11:J74">E11*I11*G11</f>
        <v>439.6304</v>
      </c>
    </row>
    <row r="12" spans="1:10" ht="34.5" customHeight="1">
      <c r="A12" s="43" t="s">
        <v>43</v>
      </c>
      <c r="B12" s="44" t="s">
        <v>29</v>
      </c>
      <c r="C12" s="45" t="s">
        <v>160</v>
      </c>
      <c r="D12" s="44" t="s">
        <v>28</v>
      </c>
      <c r="E12" s="59">
        <v>6</v>
      </c>
      <c r="F12" s="71">
        <v>15</v>
      </c>
      <c r="G12" s="47">
        <v>1</v>
      </c>
      <c r="H12" s="46">
        <f t="shared" si="0"/>
        <v>90</v>
      </c>
      <c r="I12">
        <v>42.95</v>
      </c>
      <c r="J12" s="1">
        <f t="shared" si="1"/>
        <v>257.70000000000005</v>
      </c>
    </row>
    <row r="13" spans="1:10" ht="45.75" customHeight="1">
      <c r="A13" s="43" t="s">
        <v>44</v>
      </c>
      <c r="B13" s="44" t="s">
        <v>30</v>
      </c>
      <c r="C13" s="45" t="s">
        <v>161</v>
      </c>
      <c r="D13" s="44" t="s">
        <v>28</v>
      </c>
      <c r="E13" s="59">
        <v>6</v>
      </c>
      <c r="F13" s="71">
        <v>2</v>
      </c>
      <c r="G13" s="47">
        <v>1</v>
      </c>
      <c r="H13" s="46">
        <f t="shared" si="0"/>
        <v>12</v>
      </c>
      <c r="I13">
        <v>23.98</v>
      </c>
      <c r="J13" s="1">
        <f t="shared" si="1"/>
        <v>143.88</v>
      </c>
    </row>
    <row r="14" spans="1:10" ht="60" customHeight="1">
      <c r="A14" s="43" t="s">
        <v>45</v>
      </c>
      <c r="B14" s="44" t="s">
        <v>104</v>
      </c>
      <c r="C14" s="45" t="s">
        <v>162</v>
      </c>
      <c r="D14" s="44" t="s">
        <v>28</v>
      </c>
      <c r="E14" s="59">
        <v>128.776</v>
      </c>
      <c r="F14" s="71">
        <v>15</v>
      </c>
      <c r="G14" s="47">
        <v>1</v>
      </c>
      <c r="H14" s="46">
        <f t="shared" si="0"/>
        <v>1931.64</v>
      </c>
      <c r="I14">
        <v>26.63</v>
      </c>
      <c r="J14" s="1">
        <f t="shared" si="1"/>
        <v>3429.30488</v>
      </c>
    </row>
    <row r="15" spans="1:10" ht="60" customHeight="1">
      <c r="A15" s="43" t="s">
        <v>46</v>
      </c>
      <c r="B15" s="44" t="s">
        <v>105</v>
      </c>
      <c r="C15" s="45" t="s">
        <v>163</v>
      </c>
      <c r="D15" s="44" t="s">
        <v>28</v>
      </c>
      <c r="E15" s="59">
        <v>128.776</v>
      </c>
      <c r="F15" s="71">
        <v>15</v>
      </c>
      <c r="G15" s="47">
        <v>1</v>
      </c>
      <c r="H15" s="46">
        <f t="shared" si="0"/>
        <v>1931.64</v>
      </c>
      <c r="I15">
        <v>31.39</v>
      </c>
      <c r="J15" s="1">
        <f t="shared" si="1"/>
        <v>4042.2786400000005</v>
      </c>
    </row>
    <row r="16" spans="1:10" ht="71.25" customHeight="1">
      <c r="A16" s="43" t="s">
        <v>47</v>
      </c>
      <c r="B16" s="44" t="s">
        <v>106</v>
      </c>
      <c r="C16" s="45" t="s">
        <v>164</v>
      </c>
      <c r="D16" s="44" t="s">
        <v>28</v>
      </c>
      <c r="E16" s="59">
        <v>64.388</v>
      </c>
      <c r="F16" s="71">
        <v>15</v>
      </c>
      <c r="G16" s="47">
        <v>1</v>
      </c>
      <c r="H16" s="46">
        <f t="shared" si="0"/>
        <v>965.82</v>
      </c>
      <c r="I16">
        <v>101.09</v>
      </c>
      <c r="J16" s="1">
        <f t="shared" si="1"/>
        <v>6508.98292</v>
      </c>
    </row>
    <row r="17" spans="1:10" ht="57.75" customHeight="1">
      <c r="A17" s="43" t="s">
        <v>48</v>
      </c>
      <c r="B17" s="44" t="s">
        <v>107</v>
      </c>
      <c r="C17" s="45" t="s">
        <v>165</v>
      </c>
      <c r="D17" s="44" t="s">
        <v>27</v>
      </c>
      <c r="E17" s="59">
        <v>681</v>
      </c>
      <c r="F17" s="71">
        <v>0.5</v>
      </c>
      <c r="G17" s="47">
        <v>1</v>
      </c>
      <c r="H17" s="46">
        <f t="shared" si="0"/>
        <v>340.5</v>
      </c>
      <c r="I17">
        <v>12.13</v>
      </c>
      <c r="J17" s="1">
        <f t="shared" si="1"/>
        <v>8260.53</v>
      </c>
    </row>
    <row r="18" spans="1:10" ht="59.25" customHeight="1">
      <c r="A18" s="43" t="s">
        <v>49</v>
      </c>
      <c r="B18" s="44" t="s">
        <v>31</v>
      </c>
      <c r="C18" s="45" t="s">
        <v>166</v>
      </c>
      <c r="D18" s="44" t="s">
        <v>28</v>
      </c>
      <c r="E18" s="59">
        <v>58.12</v>
      </c>
      <c r="F18" s="71">
        <v>5</v>
      </c>
      <c r="G18" s="47">
        <v>1</v>
      </c>
      <c r="H18" s="46">
        <f t="shared" si="0"/>
        <v>290.6</v>
      </c>
      <c r="I18">
        <v>1.54</v>
      </c>
      <c r="J18" s="1">
        <f t="shared" si="1"/>
        <v>89.5048</v>
      </c>
    </row>
    <row r="19" spans="1:10" ht="59.25" customHeight="1">
      <c r="A19" s="43" t="s">
        <v>50</v>
      </c>
      <c r="B19" s="44" t="s">
        <v>108</v>
      </c>
      <c r="C19" s="45" t="s">
        <v>167</v>
      </c>
      <c r="D19" s="44" t="s">
        <v>28</v>
      </c>
      <c r="E19" s="59">
        <v>263.82</v>
      </c>
      <c r="F19" s="71">
        <v>1</v>
      </c>
      <c r="G19" s="47">
        <v>1</v>
      </c>
      <c r="H19" s="46">
        <f t="shared" si="0"/>
        <v>263.82</v>
      </c>
      <c r="I19">
        <v>117.34</v>
      </c>
      <c r="J19" s="1">
        <f t="shared" si="1"/>
        <v>30956.6388</v>
      </c>
    </row>
    <row r="20" spans="1:10" ht="70.5" customHeight="1">
      <c r="A20" s="43" t="s">
        <v>51</v>
      </c>
      <c r="B20" s="44" t="s">
        <v>153</v>
      </c>
      <c r="C20" s="45" t="s">
        <v>168</v>
      </c>
      <c r="D20" s="44" t="s">
        <v>28</v>
      </c>
      <c r="E20" s="59">
        <v>263.82</v>
      </c>
      <c r="F20" s="71">
        <v>1</v>
      </c>
      <c r="G20" s="47">
        <v>1</v>
      </c>
      <c r="H20" s="46">
        <f t="shared" si="0"/>
        <v>263.82</v>
      </c>
      <c r="I20">
        <v>28.56</v>
      </c>
      <c r="J20" s="1">
        <f t="shared" si="1"/>
        <v>7534.699199999999</v>
      </c>
    </row>
    <row r="21" spans="1:10" ht="48">
      <c r="A21" s="43" t="s">
        <v>146</v>
      </c>
      <c r="B21" s="44" t="s">
        <v>25</v>
      </c>
      <c r="C21" s="45" t="s">
        <v>169</v>
      </c>
      <c r="D21" s="44" t="s">
        <v>28</v>
      </c>
      <c r="E21" s="59">
        <v>263.82</v>
      </c>
      <c r="F21" s="71">
        <v>1</v>
      </c>
      <c r="G21" s="47">
        <v>1</v>
      </c>
      <c r="H21" s="46">
        <f t="shared" si="0"/>
        <v>263.82</v>
      </c>
      <c r="I21">
        <v>10</v>
      </c>
      <c r="J21" s="1">
        <f t="shared" si="1"/>
        <v>2638.2</v>
      </c>
    </row>
    <row r="22" spans="1:10" ht="12.75">
      <c r="A22" s="122" t="s">
        <v>93</v>
      </c>
      <c r="B22" s="123"/>
      <c r="C22" s="123"/>
      <c r="D22" s="123"/>
      <c r="E22" s="123"/>
      <c r="F22" s="123"/>
      <c r="G22" s="123"/>
      <c r="H22" s="124"/>
      <c r="J22" s="1">
        <f t="shared" si="1"/>
        <v>0</v>
      </c>
    </row>
    <row r="23" spans="1:10" ht="46.5" customHeight="1" thickBot="1">
      <c r="A23" s="48" t="s">
        <v>86</v>
      </c>
      <c r="B23" s="49" t="s">
        <v>87</v>
      </c>
      <c r="C23" s="50" t="s">
        <v>170</v>
      </c>
      <c r="D23" s="49" t="s">
        <v>27</v>
      </c>
      <c r="E23" s="64">
        <v>175.65</v>
      </c>
      <c r="F23" s="51">
        <v>10</v>
      </c>
      <c r="G23" s="51">
        <v>1</v>
      </c>
      <c r="H23" s="52">
        <f t="shared" si="0"/>
        <v>1756.5</v>
      </c>
      <c r="I23" s="74">
        <v>17.27</v>
      </c>
      <c r="J23" s="1">
        <f t="shared" si="1"/>
        <v>3033.4755</v>
      </c>
    </row>
    <row r="24" spans="1:10" ht="35.25" customHeight="1" thickTop="1">
      <c r="A24" s="53" t="s">
        <v>41</v>
      </c>
      <c r="B24" s="54" t="s">
        <v>88</v>
      </c>
      <c r="C24" s="55" t="s">
        <v>171</v>
      </c>
      <c r="D24" s="54" t="s">
        <v>27</v>
      </c>
      <c r="E24" s="60">
        <v>175.65</v>
      </c>
      <c r="F24" s="56">
        <v>5</v>
      </c>
      <c r="G24" s="56">
        <v>1</v>
      </c>
      <c r="H24" s="57">
        <f t="shared" si="0"/>
        <v>878.25</v>
      </c>
      <c r="I24" s="74">
        <v>9.04</v>
      </c>
      <c r="J24" s="1">
        <f t="shared" si="1"/>
        <v>1587.876</v>
      </c>
    </row>
    <row r="25" spans="1:10" ht="33.75" customHeight="1">
      <c r="A25" s="43" t="s">
        <v>52</v>
      </c>
      <c r="B25" s="44" t="s">
        <v>89</v>
      </c>
      <c r="C25" s="45" t="s">
        <v>172</v>
      </c>
      <c r="D25" s="44" t="s">
        <v>28</v>
      </c>
      <c r="E25" s="61">
        <v>88.522</v>
      </c>
      <c r="F25" s="47">
        <v>50</v>
      </c>
      <c r="G25" s="47">
        <v>1</v>
      </c>
      <c r="H25" s="46">
        <f t="shared" si="0"/>
        <v>4426.1</v>
      </c>
      <c r="I25" s="74">
        <v>85.56</v>
      </c>
      <c r="J25" s="1">
        <f t="shared" si="1"/>
        <v>7573.942320000001</v>
      </c>
    </row>
    <row r="26" spans="1:10" ht="46.5" customHeight="1">
      <c r="A26" s="43" t="s">
        <v>53</v>
      </c>
      <c r="B26" s="44" t="s">
        <v>32</v>
      </c>
      <c r="C26" s="45" t="s">
        <v>173</v>
      </c>
      <c r="D26" s="44" t="s">
        <v>1</v>
      </c>
      <c r="E26" s="61">
        <v>196</v>
      </c>
      <c r="F26" s="47">
        <v>153</v>
      </c>
      <c r="G26" s="47">
        <v>1</v>
      </c>
      <c r="H26" s="46">
        <f t="shared" si="0"/>
        <v>29988</v>
      </c>
      <c r="I26" s="74">
        <v>222.27</v>
      </c>
      <c r="J26" s="1">
        <f t="shared" si="1"/>
        <v>43564.920000000006</v>
      </c>
    </row>
    <row r="27" spans="1:10" ht="46.5" customHeight="1">
      <c r="A27" s="43" t="s">
        <v>54</v>
      </c>
      <c r="B27" s="44" t="s">
        <v>33</v>
      </c>
      <c r="C27" s="45" t="s">
        <v>174</v>
      </c>
      <c r="D27" s="44" t="s">
        <v>1</v>
      </c>
      <c r="E27" s="61">
        <v>5.5</v>
      </c>
      <c r="F27" s="47">
        <v>35</v>
      </c>
      <c r="G27" s="47">
        <v>1</v>
      </c>
      <c r="H27" s="46">
        <f t="shared" si="0"/>
        <v>192.5</v>
      </c>
      <c r="I27" s="74">
        <v>48.72</v>
      </c>
      <c r="J27" s="1">
        <f t="shared" si="1"/>
        <v>267.96</v>
      </c>
    </row>
    <row r="28" spans="1:10" ht="46.5" customHeight="1">
      <c r="A28" s="43" t="s">
        <v>55</v>
      </c>
      <c r="B28" s="44" t="s">
        <v>34</v>
      </c>
      <c r="C28" s="45" t="s">
        <v>175</v>
      </c>
      <c r="D28" s="44" t="s">
        <v>28</v>
      </c>
      <c r="E28" s="61">
        <v>2.8</v>
      </c>
      <c r="F28" s="47">
        <v>240</v>
      </c>
      <c r="G28" s="47">
        <v>1</v>
      </c>
      <c r="H28" s="46">
        <f t="shared" si="0"/>
        <v>672</v>
      </c>
      <c r="I28" s="74">
        <v>307.54</v>
      </c>
      <c r="J28" s="1">
        <f t="shared" si="1"/>
        <v>861.112</v>
      </c>
    </row>
    <row r="29" spans="1:10" ht="45.75" customHeight="1">
      <c r="A29" s="43" t="s">
        <v>56</v>
      </c>
      <c r="B29" s="44" t="s">
        <v>90</v>
      </c>
      <c r="C29" s="45" t="s">
        <v>176</v>
      </c>
      <c r="D29" s="44" t="s">
        <v>35</v>
      </c>
      <c r="E29" s="61">
        <v>5</v>
      </c>
      <c r="F29" s="47">
        <v>2370</v>
      </c>
      <c r="G29" s="47">
        <v>1</v>
      </c>
      <c r="H29" s="46">
        <f t="shared" si="0"/>
        <v>11850</v>
      </c>
      <c r="I29" s="74">
        <v>2911.96</v>
      </c>
      <c r="J29" s="1">
        <f t="shared" si="1"/>
        <v>14559.8</v>
      </c>
    </row>
    <row r="30" spans="1:10" ht="70.5" customHeight="1">
      <c r="A30" s="43" t="s">
        <v>57</v>
      </c>
      <c r="B30" s="44" t="s">
        <v>91</v>
      </c>
      <c r="C30" s="45" t="s">
        <v>177</v>
      </c>
      <c r="D30" s="44" t="s">
        <v>92</v>
      </c>
      <c r="E30" s="61">
        <v>10</v>
      </c>
      <c r="F30" s="47">
        <v>1</v>
      </c>
      <c r="G30" s="47">
        <v>-1</v>
      </c>
      <c r="H30" s="46">
        <f t="shared" si="0"/>
        <v>-10</v>
      </c>
      <c r="I30" s="74">
        <v>296.32</v>
      </c>
      <c r="J30" s="1">
        <f t="shared" si="1"/>
        <v>-2963.2</v>
      </c>
    </row>
    <row r="31" spans="1:10" ht="46.5" customHeight="1">
      <c r="A31" s="43" t="s">
        <v>58</v>
      </c>
      <c r="B31" s="44" t="s">
        <v>154</v>
      </c>
      <c r="C31" s="45" t="s">
        <v>178</v>
      </c>
      <c r="D31" s="44" t="s">
        <v>24</v>
      </c>
      <c r="E31" s="61">
        <v>5</v>
      </c>
      <c r="F31" s="47">
        <v>1100</v>
      </c>
      <c r="G31" s="47">
        <v>1</v>
      </c>
      <c r="H31" s="46">
        <f t="shared" si="0"/>
        <v>5500</v>
      </c>
      <c r="I31" s="74">
        <v>1142.68</v>
      </c>
      <c r="J31" s="1">
        <f t="shared" si="1"/>
        <v>5713.400000000001</v>
      </c>
    </row>
    <row r="32" spans="1:10" ht="35.25" customHeight="1">
      <c r="A32" s="43" t="s">
        <v>59</v>
      </c>
      <c r="B32" s="44" t="s">
        <v>36</v>
      </c>
      <c r="C32" s="45" t="s">
        <v>179</v>
      </c>
      <c r="D32" s="44" t="s">
        <v>1</v>
      </c>
      <c r="E32" s="61">
        <v>196</v>
      </c>
      <c r="F32" s="47">
        <v>4.5</v>
      </c>
      <c r="G32" s="47">
        <v>1</v>
      </c>
      <c r="H32" s="46">
        <f t="shared" si="0"/>
        <v>882</v>
      </c>
      <c r="J32" s="1">
        <f t="shared" si="1"/>
        <v>0</v>
      </c>
    </row>
    <row r="33" spans="1:10" ht="46.5" customHeight="1">
      <c r="A33" s="43" t="s">
        <v>60</v>
      </c>
      <c r="B33" s="44" t="s">
        <v>37</v>
      </c>
      <c r="C33" s="45" t="s">
        <v>180</v>
      </c>
      <c r="D33" s="44" t="s">
        <v>38</v>
      </c>
      <c r="E33" s="61">
        <v>1</v>
      </c>
      <c r="F33" s="47">
        <v>300</v>
      </c>
      <c r="G33" s="47">
        <v>1</v>
      </c>
      <c r="H33" s="46">
        <f t="shared" si="0"/>
        <v>300</v>
      </c>
      <c r="I33" s="74">
        <v>1265.48</v>
      </c>
      <c r="J33" s="1">
        <f t="shared" si="1"/>
        <v>1265.48</v>
      </c>
    </row>
    <row r="34" spans="1:10" ht="12.75">
      <c r="A34" s="125" t="s">
        <v>61</v>
      </c>
      <c r="B34" s="126"/>
      <c r="C34" s="126"/>
      <c r="D34" s="126"/>
      <c r="E34" s="126"/>
      <c r="F34" s="126"/>
      <c r="G34" s="126"/>
      <c r="H34" s="127"/>
      <c r="J34" s="1">
        <f t="shared" si="1"/>
        <v>0</v>
      </c>
    </row>
    <row r="35" spans="1:10" ht="12.75">
      <c r="A35" s="110" t="s">
        <v>62</v>
      </c>
      <c r="B35" s="111"/>
      <c r="C35" s="111"/>
      <c r="D35" s="111"/>
      <c r="E35" s="111"/>
      <c r="F35" s="111"/>
      <c r="G35" s="111"/>
      <c r="H35" s="112"/>
      <c r="J35" s="1">
        <f t="shared" si="1"/>
        <v>0</v>
      </c>
    </row>
    <row r="36" spans="1:10" s="40" customFormat="1" ht="58.5" customHeight="1">
      <c r="A36" s="43" t="s">
        <v>147</v>
      </c>
      <c r="B36" s="44" t="s">
        <v>23</v>
      </c>
      <c r="C36" s="45" t="s">
        <v>181</v>
      </c>
      <c r="D36" s="44" t="s">
        <v>0</v>
      </c>
      <c r="E36" s="59">
        <v>0.227</v>
      </c>
      <c r="F36" s="71">
        <v>1000</v>
      </c>
      <c r="G36" s="47">
        <v>1</v>
      </c>
      <c r="H36" s="46">
        <f aca="true" t="shared" si="2" ref="H36:H92">ROUND(E36*F36*G36,2)</f>
        <v>227</v>
      </c>
      <c r="I36" s="40">
        <v>2747.69</v>
      </c>
      <c r="J36" s="1">
        <f t="shared" si="1"/>
        <v>623.72563</v>
      </c>
    </row>
    <row r="37" spans="1:10" s="40" customFormat="1" ht="58.5" customHeight="1">
      <c r="A37" s="43" t="s">
        <v>148</v>
      </c>
      <c r="B37" s="44" t="s">
        <v>23</v>
      </c>
      <c r="C37" s="45" t="s">
        <v>182</v>
      </c>
      <c r="D37" s="44" t="s">
        <v>0</v>
      </c>
      <c r="E37" s="59">
        <v>0.227</v>
      </c>
      <c r="F37" s="71">
        <v>10000</v>
      </c>
      <c r="G37" s="47">
        <v>1</v>
      </c>
      <c r="H37" s="46">
        <f t="shared" si="2"/>
        <v>2270</v>
      </c>
      <c r="I37" s="40">
        <v>2747.69</v>
      </c>
      <c r="J37" s="1">
        <f t="shared" si="1"/>
        <v>623.72563</v>
      </c>
    </row>
    <row r="38" spans="1:10" s="40" customFormat="1" ht="81.75" customHeight="1">
      <c r="A38" s="43" t="s">
        <v>63</v>
      </c>
      <c r="B38" s="44" t="s">
        <v>110</v>
      </c>
      <c r="C38" s="45" t="s">
        <v>111</v>
      </c>
      <c r="D38" s="44" t="s">
        <v>27</v>
      </c>
      <c r="E38" s="59">
        <v>70</v>
      </c>
      <c r="F38" s="71">
        <v>2.3</v>
      </c>
      <c r="G38" s="47">
        <v>0.67</v>
      </c>
      <c r="H38" s="46">
        <f t="shared" si="2"/>
        <v>107.87</v>
      </c>
      <c r="I38" s="40">
        <v>0.29</v>
      </c>
      <c r="J38" s="1">
        <f>E38*I38*G38/0.67</f>
        <v>20.299999999999997</v>
      </c>
    </row>
    <row r="39" spans="1:10" s="40" customFormat="1" ht="47.25" customHeight="1">
      <c r="A39" s="43" t="s">
        <v>64</v>
      </c>
      <c r="B39" s="44" t="s">
        <v>145</v>
      </c>
      <c r="C39" s="45" t="s">
        <v>183</v>
      </c>
      <c r="D39" s="44" t="s">
        <v>1</v>
      </c>
      <c r="E39" s="59">
        <v>8</v>
      </c>
      <c r="F39" s="71">
        <v>2</v>
      </c>
      <c r="G39" s="47">
        <v>1</v>
      </c>
      <c r="H39" s="46">
        <f t="shared" si="2"/>
        <v>16</v>
      </c>
      <c r="I39" s="40">
        <v>10.71</v>
      </c>
      <c r="J39" s="1">
        <f t="shared" si="1"/>
        <v>85.68</v>
      </c>
    </row>
    <row r="40" spans="1:10" s="40" customFormat="1" ht="58.5" customHeight="1" thickBot="1">
      <c r="A40" s="48" t="s">
        <v>65</v>
      </c>
      <c r="B40" s="49" t="s">
        <v>144</v>
      </c>
      <c r="C40" s="50" t="s">
        <v>184</v>
      </c>
      <c r="D40" s="49" t="s">
        <v>27</v>
      </c>
      <c r="E40" s="62">
        <v>794.5</v>
      </c>
      <c r="F40" s="72">
        <v>1.5</v>
      </c>
      <c r="G40" s="51">
        <v>1</v>
      </c>
      <c r="H40" s="52">
        <f t="shared" si="2"/>
        <v>1191.75</v>
      </c>
      <c r="I40" s="40">
        <v>13.83</v>
      </c>
      <c r="J40" s="1">
        <f t="shared" si="1"/>
        <v>10987.935</v>
      </c>
    </row>
    <row r="41" spans="1:10" s="40" customFormat="1" ht="69.75" customHeight="1" thickTop="1">
      <c r="A41" s="53" t="s">
        <v>66</v>
      </c>
      <c r="B41" s="54" t="s">
        <v>143</v>
      </c>
      <c r="C41" s="55" t="s">
        <v>185</v>
      </c>
      <c r="D41" s="54" t="s">
        <v>27</v>
      </c>
      <c r="E41" s="63">
        <v>794.5</v>
      </c>
      <c r="F41" s="73">
        <v>0.5</v>
      </c>
      <c r="G41" s="56">
        <v>5</v>
      </c>
      <c r="H41" s="57">
        <f t="shared" si="2"/>
        <v>1986.25</v>
      </c>
      <c r="I41" s="40">
        <v>10.82</v>
      </c>
      <c r="J41" s="1">
        <f>E41*I41*G41/5</f>
        <v>8596.49</v>
      </c>
    </row>
    <row r="42" spans="1:10" s="40" customFormat="1" ht="46.5" customHeight="1">
      <c r="A42" s="43" t="s">
        <v>67</v>
      </c>
      <c r="B42" s="44" t="s">
        <v>142</v>
      </c>
      <c r="C42" s="45" t="s">
        <v>186</v>
      </c>
      <c r="D42" s="44" t="s">
        <v>27</v>
      </c>
      <c r="E42" s="59">
        <v>794.5</v>
      </c>
      <c r="F42" s="71">
        <v>2.3</v>
      </c>
      <c r="G42" s="47">
        <v>1</v>
      </c>
      <c r="H42" s="46">
        <f t="shared" si="2"/>
        <v>1827.35</v>
      </c>
      <c r="I42" s="40">
        <v>6.06</v>
      </c>
      <c r="J42" s="1">
        <f t="shared" si="1"/>
        <v>4814.67</v>
      </c>
    </row>
    <row r="43" spans="1:10" s="40" customFormat="1" ht="70.5" customHeight="1">
      <c r="A43" s="43" t="s">
        <v>68</v>
      </c>
      <c r="B43" s="44" t="s">
        <v>141</v>
      </c>
      <c r="C43" s="45" t="s">
        <v>187</v>
      </c>
      <c r="D43" s="44" t="s">
        <v>27</v>
      </c>
      <c r="E43" s="59">
        <v>794.5</v>
      </c>
      <c r="F43" s="71">
        <v>0.2</v>
      </c>
      <c r="G43" s="47">
        <v>17</v>
      </c>
      <c r="H43" s="46">
        <f t="shared" si="2"/>
        <v>2701.3</v>
      </c>
      <c r="I43" s="40">
        <v>5.21</v>
      </c>
      <c r="J43" s="1">
        <f>E43*I43*G43/17</f>
        <v>4139.345</v>
      </c>
    </row>
    <row r="44" spans="1:10" s="40" customFormat="1" ht="45.75" customHeight="1">
      <c r="A44" s="43" t="s">
        <v>223</v>
      </c>
      <c r="B44" s="44" t="s">
        <v>112</v>
      </c>
      <c r="C44" s="45" t="s">
        <v>188</v>
      </c>
      <c r="D44" s="44" t="s">
        <v>1</v>
      </c>
      <c r="E44" s="59">
        <v>26</v>
      </c>
      <c r="F44" s="71">
        <v>2</v>
      </c>
      <c r="G44" s="47">
        <v>1</v>
      </c>
      <c r="H44" s="46">
        <f t="shared" si="2"/>
        <v>52</v>
      </c>
      <c r="I44" s="40">
        <v>4.53</v>
      </c>
      <c r="J44" s="1">
        <f t="shared" si="1"/>
        <v>117.78</v>
      </c>
    </row>
    <row r="45" spans="1:10" s="40" customFormat="1" ht="45.75" customHeight="1">
      <c r="A45" s="43" t="s">
        <v>224</v>
      </c>
      <c r="B45" s="44" t="s">
        <v>113</v>
      </c>
      <c r="C45" s="45" t="s">
        <v>189</v>
      </c>
      <c r="D45" s="44" t="s">
        <v>1</v>
      </c>
      <c r="E45" s="59">
        <v>6</v>
      </c>
      <c r="F45" s="71">
        <v>1</v>
      </c>
      <c r="G45" s="47">
        <v>1</v>
      </c>
      <c r="H45" s="46">
        <f t="shared" si="2"/>
        <v>6</v>
      </c>
      <c r="I45" s="40">
        <v>1.47</v>
      </c>
      <c r="J45" s="1">
        <f t="shared" si="1"/>
        <v>8.82</v>
      </c>
    </row>
    <row r="46" spans="1:10" s="40" customFormat="1" ht="35.25" customHeight="1">
      <c r="A46" s="43" t="s">
        <v>69</v>
      </c>
      <c r="B46" s="44" t="s">
        <v>114</v>
      </c>
      <c r="C46" s="45" t="s">
        <v>190</v>
      </c>
      <c r="D46" s="44" t="s">
        <v>28</v>
      </c>
      <c r="E46" s="59">
        <v>1.8</v>
      </c>
      <c r="F46" s="71">
        <v>20</v>
      </c>
      <c r="G46" s="47">
        <v>1</v>
      </c>
      <c r="H46" s="46">
        <f t="shared" si="2"/>
        <v>36</v>
      </c>
      <c r="I46" s="40">
        <v>132.09</v>
      </c>
      <c r="J46" s="1">
        <f t="shared" si="1"/>
        <v>237.762</v>
      </c>
    </row>
    <row r="47" spans="1:10" s="40" customFormat="1" ht="58.5" customHeight="1">
      <c r="A47" s="43" t="s">
        <v>70</v>
      </c>
      <c r="B47" s="44" t="s">
        <v>140</v>
      </c>
      <c r="C47" s="45" t="s">
        <v>191</v>
      </c>
      <c r="D47" s="44" t="s">
        <v>28</v>
      </c>
      <c r="E47" s="59">
        <v>241.464</v>
      </c>
      <c r="F47" s="71">
        <v>10</v>
      </c>
      <c r="G47" s="47">
        <v>1</v>
      </c>
      <c r="H47" s="46">
        <f t="shared" si="2"/>
        <v>2414.64</v>
      </c>
      <c r="I47" s="40">
        <v>19.78</v>
      </c>
      <c r="J47" s="1">
        <f t="shared" si="1"/>
        <v>4776.157920000001</v>
      </c>
    </row>
    <row r="48" spans="1:10" s="40" customFormat="1" ht="69.75" customHeight="1">
      <c r="A48" s="43" t="s">
        <v>71</v>
      </c>
      <c r="B48" s="44" t="s">
        <v>155</v>
      </c>
      <c r="C48" s="45" t="s">
        <v>192</v>
      </c>
      <c r="D48" s="44" t="s">
        <v>28</v>
      </c>
      <c r="E48" s="59">
        <v>241.464</v>
      </c>
      <c r="F48" s="71">
        <v>1</v>
      </c>
      <c r="G48" s="47">
        <v>1</v>
      </c>
      <c r="H48" s="46">
        <f t="shared" si="2"/>
        <v>241.46</v>
      </c>
      <c r="I48" s="40">
        <v>69.69</v>
      </c>
      <c r="J48" s="1">
        <f t="shared" si="1"/>
        <v>16827.62616</v>
      </c>
    </row>
    <row r="49" spans="1:10" s="40" customFormat="1" ht="93.75" customHeight="1">
      <c r="A49" s="43" t="s">
        <v>225</v>
      </c>
      <c r="B49" s="44" t="s">
        <v>156</v>
      </c>
      <c r="C49" s="45" t="s">
        <v>193</v>
      </c>
      <c r="D49" s="44" t="s">
        <v>28</v>
      </c>
      <c r="E49" s="59">
        <v>241.464</v>
      </c>
      <c r="F49" s="71">
        <v>1</v>
      </c>
      <c r="G49" s="47">
        <v>1</v>
      </c>
      <c r="H49" s="46">
        <f t="shared" si="2"/>
        <v>241.46</v>
      </c>
      <c r="I49" s="40">
        <v>19.04</v>
      </c>
      <c r="J49" s="1">
        <f t="shared" si="1"/>
        <v>4597.47456</v>
      </c>
    </row>
    <row r="50" spans="1:10" s="40" customFormat="1" ht="34.5" customHeight="1">
      <c r="A50" s="43" t="s">
        <v>72</v>
      </c>
      <c r="B50" s="44" t="s">
        <v>137</v>
      </c>
      <c r="C50" s="45" t="s">
        <v>194</v>
      </c>
      <c r="D50" s="44" t="s">
        <v>28</v>
      </c>
      <c r="E50" s="59">
        <v>241.464</v>
      </c>
      <c r="F50" s="71">
        <v>1</v>
      </c>
      <c r="G50" s="47">
        <v>1</v>
      </c>
      <c r="H50" s="46">
        <f t="shared" si="2"/>
        <v>241.46</v>
      </c>
      <c r="I50" s="40">
        <v>10</v>
      </c>
      <c r="J50" s="1">
        <f t="shared" si="1"/>
        <v>2414.64</v>
      </c>
    </row>
    <row r="51" spans="1:10" s="40" customFormat="1" ht="57.75" customHeight="1">
      <c r="A51" s="43" t="s">
        <v>73</v>
      </c>
      <c r="B51" s="44" t="s">
        <v>140</v>
      </c>
      <c r="C51" s="45" t="s">
        <v>195</v>
      </c>
      <c r="D51" s="44" t="s">
        <v>28</v>
      </c>
      <c r="E51" s="59">
        <v>63.56</v>
      </c>
      <c r="F51" s="71">
        <v>10</v>
      </c>
      <c r="G51" s="47">
        <v>1</v>
      </c>
      <c r="H51" s="46">
        <f t="shared" si="2"/>
        <v>635.6</v>
      </c>
      <c r="I51" s="40">
        <v>19.78</v>
      </c>
      <c r="J51" s="1">
        <f t="shared" si="1"/>
        <v>1257.2168000000001</v>
      </c>
    </row>
    <row r="52" spans="1:10" s="40" customFormat="1" ht="59.25" customHeight="1">
      <c r="A52" s="43" t="s">
        <v>74</v>
      </c>
      <c r="B52" s="44" t="s">
        <v>139</v>
      </c>
      <c r="C52" s="45" t="s">
        <v>196</v>
      </c>
      <c r="D52" s="44" t="s">
        <v>28</v>
      </c>
      <c r="E52" s="59">
        <v>63.56</v>
      </c>
      <c r="F52" s="71">
        <v>1</v>
      </c>
      <c r="G52" s="47">
        <v>1</v>
      </c>
      <c r="H52" s="46">
        <f t="shared" si="2"/>
        <v>63.56</v>
      </c>
      <c r="I52" s="40">
        <v>18.73</v>
      </c>
      <c r="J52" s="1">
        <f t="shared" si="1"/>
        <v>1190.4788</v>
      </c>
    </row>
    <row r="53" spans="1:10" s="40" customFormat="1" ht="95.25" customHeight="1">
      <c r="A53" s="43" t="s">
        <v>75</v>
      </c>
      <c r="B53" s="44" t="s">
        <v>138</v>
      </c>
      <c r="C53" s="45" t="s">
        <v>197</v>
      </c>
      <c r="D53" s="44" t="s">
        <v>28</v>
      </c>
      <c r="E53" s="59">
        <v>63.56</v>
      </c>
      <c r="F53" s="71">
        <v>1</v>
      </c>
      <c r="G53" s="47">
        <v>1</v>
      </c>
      <c r="H53" s="46">
        <f t="shared" si="2"/>
        <v>63.56</v>
      </c>
      <c r="I53" s="40">
        <v>35.23</v>
      </c>
      <c r="J53" s="1">
        <f t="shared" si="1"/>
        <v>2239.2188</v>
      </c>
    </row>
    <row r="54" spans="1:10" s="40" customFormat="1" ht="35.25" customHeight="1" thickBot="1">
      <c r="A54" s="48" t="s">
        <v>149</v>
      </c>
      <c r="B54" s="49" t="s">
        <v>137</v>
      </c>
      <c r="C54" s="50" t="s">
        <v>198</v>
      </c>
      <c r="D54" s="49" t="s">
        <v>28</v>
      </c>
      <c r="E54" s="62">
        <v>63.56</v>
      </c>
      <c r="F54" s="72">
        <v>1</v>
      </c>
      <c r="G54" s="51">
        <v>1</v>
      </c>
      <c r="H54" s="52">
        <f t="shared" si="2"/>
        <v>63.56</v>
      </c>
      <c r="I54" s="41">
        <v>10</v>
      </c>
      <c r="J54" s="1">
        <f t="shared" si="1"/>
        <v>635.6</v>
      </c>
    </row>
    <row r="55" spans="1:10" ht="13.5" thickTop="1">
      <c r="A55" s="128" t="s">
        <v>76</v>
      </c>
      <c r="B55" s="129"/>
      <c r="C55" s="129"/>
      <c r="D55" s="129"/>
      <c r="E55" s="129"/>
      <c r="F55" s="129"/>
      <c r="G55" s="129"/>
      <c r="H55" s="130"/>
      <c r="I55" s="1"/>
      <c r="J55" s="1">
        <f t="shared" si="1"/>
        <v>0</v>
      </c>
    </row>
    <row r="56" spans="1:10" s="40" customFormat="1" ht="58.5" customHeight="1">
      <c r="A56" s="43" t="s">
        <v>226</v>
      </c>
      <c r="B56" s="44" t="s">
        <v>136</v>
      </c>
      <c r="C56" s="45" t="s">
        <v>200</v>
      </c>
      <c r="D56" s="44" t="s">
        <v>27</v>
      </c>
      <c r="E56" s="61">
        <v>1066.9</v>
      </c>
      <c r="F56" s="47">
        <v>3</v>
      </c>
      <c r="G56" s="47">
        <v>1</v>
      </c>
      <c r="H56" s="46">
        <f t="shared" si="2"/>
        <v>3200.7</v>
      </c>
      <c r="I56" s="41">
        <v>2.05</v>
      </c>
      <c r="J56" s="1">
        <f t="shared" si="1"/>
        <v>2187.145</v>
      </c>
    </row>
    <row r="57" spans="1:10" s="40" customFormat="1" ht="94.5" customHeight="1">
      <c r="A57" s="43" t="s">
        <v>227</v>
      </c>
      <c r="B57" s="44" t="s">
        <v>135</v>
      </c>
      <c r="C57" s="45" t="s">
        <v>201</v>
      </c>
      <c r="D57" s="44" t="s">
        <v>27</v>
      </c>
      <c r="E57" s="61">
        <v>1066.9</v>
      </c>
      <c r="F57" s="47">
        <v>0.8</v>
      </c>
      <c r="G57" s="47">
        <v>-1.4</v>
      </c>
      <c r="H57" s="46">
        <f t="shared" si="2"/>
        <v>-1194.93</v>
      </c>
      <c r="I57" s="41">
        <v>0.18</v>
      </c>
      <c r="J57" s="1">
        <f>E57*I57*G57/1.4</f>
        <v>-192.042</v>
      </c>
    </row>
    <row r="58" spans="1:10" s="40" customFormat="1" ht="58.5" customHeight="1">
      <c r="A58" s="43" t="s">
        <v>228</v>
      </c>
      <c r="B58" s="44" t="s">
        <v>136</v>
      </c>
      <c r="C58" s="45" t="s">
        <v>199</v>
      </c>
      <c r="D58" s="44" t="s">
        <v>27</v>
      </c>
      <c r="E58" s="61">
        <v>272.4</v>
      </c>
      <c r="F58" s="47">
        <v>3</v>
      </c>
      <c r="G58" s="47">
        <v>1</v>
      </c>
      <c r="H58" s="46">
        <f>ROUND(E58*F58*G58,2)</f>
        <v>817.2</v>
      </c>
      <c r="I58" s="41">
        <v>2.05</v>
      </c>
      <c r="J58" s="1">
        <f t="shared" si="1"/>
        <v>558.42</v>
      </c>
    </row>
    <row r="59" spans="1:10" s="40" customFormat="1" ht="82.5" customHeight="1">
      <c r="A59" s="43" t="s">
        <v>77</v>
      </c>
      <c r="B59" s="44" t="s">
        <v>135</v>
      </c>
      <c r="C59" s="45" t="s">
        <v>202</v>
      </c>
      <c r="D59" s="44" t="s">
        <v>27</v>
      </c>
      <c r="E59" s="61">
        <v>272.4</v>
      </c>
      <c r="F59" s="47">
        <v>0.8</v>
      </c>
      <c r="G59" s="47">
        <v>3.6</v>
      </c>
      <c r="H59" s="46">
        <f>ROUND(E59*F59*G59,2)</f>
        <v>784.51</v>
      </c>
      <c r="I59" s="41">
        <v>0.47</v>
      </c>
      <c r="J59" s="1">
        <f>E59*I59*G59/3.6</f>
        <v>128.028</v>
      </c>
    </row>
    <row r="60" spans="1:10" s="40" customFormat="1" ht="46.5" customHeight="1">
      <c r="A60" s="43" t="s">
        <v>78</v>
      </c>
      <c r="B60" s="44" t="s">
        <v>115</v>
      </c>
      <c r="C60" s="45" t="s">
        <v>203</v>
      </c>
      <c r="D60" s="44" t="s">
        <v>28</v>
      </c>
      <c r="E60" s="61">
        <v>242.209</v>
      </c>
      <c r="F60" s="47">
        <v>1</v>
      </c>
      <c r="G60" s="47">
        <v>1</v>
      </c>
      <c r="H60" s="46">
        <f t="shared" si="2"/>
        <v>242.21</v>
      </c>
      <c r="I60" s="41">
        <v>86.57</v>
      </c>
      <c r="J60" s="1">
        <f t="shared" si="1"/>
        <v>20968.03313</v>
      </c>
    </row>
    <row r="61" spans="1:10" s="40" customFormat="1" ht="57.75" customHeight="1">
      <c r="A61" s="43" t="s">
        <v>79</v>
      </c>
      <c r="B61" s="44" t="s">
        <v>116</v>
      </c>
      <c r="C61" s="45" t="s">
        <v>204</v>
      </c>
      <c r="D61" s="44" t="s">
        <v>28</v>
      </c>
      <c r="E61" s="61">
        <v>242.209</v>
      </c>
      <c r="F61" s="47">
        <v>1</v>
      </c>
      <c r="G61" s="47">
        <v>1</v>
      </c>
      <c r="H61" s="46">
        <f t="shared" si="2"/>
        <v>242.21</v>
      </c>
      <c r="I61" s="41">
        <v>28.56</v>
      </c>
      <c r="J61" s="1">
        <f t="shared" si="1"/>
        <v>6917.4890399999995</v>
      </c>
    </row>
    <row r="62" spans="1:10" s="40" customFormat="1" ht="34.5" customHeight="1">
      <c r="A62" s="43" t="s">
        <v>80</v>
      </c>
      <c r="B62" s="44" t="s">
        <v>25</v>
      </c>
      <c r="C62" s="45" t="s">
        <v>205</v>
      </c>
      <c r="D62" s="44" t="s">
        <v>28</v>
      </c>
      <c r="E62" s="61">
        <v>242.209</v>
      </c>
      <c r="F62" s="47">
        <v>1</v>
      </c>
      <c r="G62" s="47">
        <v>1</v>
      </c>
      <c r="H62" s="46">
        <f t="shared" si="2"/>
        <v>242.21</v>
      </c>
      <c r="I62" s="41">
        <v>10</v>
      </c>
      <c r="J62" s="1">
        <f t="shared" si="1"/>
        <v>2422.09</v>
      </c>
    </row>
    <row r="63" spans="1:10" s="40" customFormat="1" ht="12.75" customHeight="1">
      <c r="A63" s="122" t="s">
        <v>81</v>
      </c>
      <c r="B63" s="123"/>
      <c r="C63" s="123"/>
      <c r="D63" s="123"/>
      <c r="E63" s="123"/>
      <c r="F63" s="123"/>
      <c r="G63" s="123"/>
      <c r="H63" s="124"/>
      <c r="I63" s="41"/>
      <c r="J63" s="1">
        <f t="shared" si="1"/>
        <v>0</v>
      </c>
    </row>
    <row r="64" spans="1:10" s="40" customFormat="1" ht="46.5" customHeight="1">
      <c r="A64" s="43" t="s">
        <v>229</v>
      </c>
      <c r="B64" s="44" t="s">
        <v>26</v>
      </c>
      <c r="C64" s="45" t="s">
        <v>206</v>
      </c>
      <c r="D64" s="44" t="s">
        <v>24</v>
      </c>
      <c r="E64" s="58">
        <v>4</v>
      </c>
      <c r="F64" s="47">
        <v>50</v>
      </c>
      <c r="G64" s="47">
        <v>1</v>
      </c>
      <c r="H64" s="46">
        <f t="shared" si="2"/>
        <v>200</v>
      </c>
      <c r="I64" s="41">
        <v>117.53</v>
      </c>
      <c r="J64" s="1">
        <f t="shared" si="1"/>
        <v>470.12</v>
      </c>
    </row>
    <row r="65" spans="1:10" s="40" customFormat="1" ht="36" customHeight="1">
      <c r="A65" s="43" t="s">
        <v>230</v>
      </c>
      <c r="B65" s="44" t="s">
        <v>109</v>
      </c>
      <c r="C65" s="45" t="s">
        <v>207</v>
      </c>
      <c r="D65" s="44" t="s">
        <v>1</v>
      </c>
      <c r="E65" s="58">
        <v>10</v>
      </c>
      <c r="F65" s="47">
        <v>40</v>
      </c>
      <c r="G65" s="47">
        <v>1</v>
      </c>
      <c r="H65" s="46">
        <f t="shared" si="2"/>
        <v>400</v>
      </c>
      <c r="I65" s="41">
        <v>19.84</v>
      </c>
      <c r="J65" s="1">
        <f t="shared" si="1"/>
        <v>198.4</v>
      </c>
    </row>
    <row r="66" spans="1:10" s="40" customFormat="1" ht="12.75">
      <c r="A66" s="131" t="s">
        <v>82</v>
      </c>
      <c r="B66" s="132"/>
      <c r="C66" s="132"/>
      <c r="D66" s="132"/>
      <c r="E66" s="132"/>
      <c r="F66" s="132"/>
      <c r="G66" s="132"/>
      <c r="H66" s="133"/>
      <c r="I66" s="41"/>
      <c r="J66" s="1">
        <f t="shared" si="1"/>
        <v>0</v>
      </c>
    </row>
    <row r="67" spans="1:10" s="40" customFormat="1" ht="46.5" customHeight="1">
      <c r="A67" s="43" t="s">
        <v>231</v>
      </c>
      <c r="B67" s="44" t="s">
        <v>117</v>
      </c>
      <c r="C67" s="45" t="s">
        <v>208</v>
      </c>
      <c r="D67" s="44" t="s">
        <v>27</v>
      </c>
      <c r="E67" s="61">
        <v>1143.124</v>
      </c>
      <c r="F67" s="47">
        <v>13</v>
      </c>
      <c r="G67" s="47">
        <v>1</v>
      </c>
      <c r="H67" s="46">
        <f t="shared" si="2"/>
        <v>14860.61</v>
      </c>
      <c r="I67" s="41">
        <v>21.45</v>
      </c>
      <c r="J67" s="1">
        <f t="shared" si="1"/>
        <v>24520.0098</v>
      </c>
    </row>
    <row r="68" spans="1:10" s="40" customFormat="1" ht="47.25" customHeight="1">
      <c r="A68" s="43" t="s">
        <v>232</v>
      </c>
      <c r="B68" s="44" t="s">
        <v>134</v>
      </c>
      <c r="C68" s="45" t="s">
        <v>209</v>
      </c>
      <c r="D68" s="44" t="s">
        <v>27</v>
      </c>
      <c r="E68" s="61">
        <v>1143.124</v>
      </c>
      <c r="F68" s="47">
        <v>0.5</v>
      </c>
      <c r="G68" s="47">
        <v>1</v>
      </c>
      <c r="H68" s="46">
        <f>ROUND(E68*F68*G68,2)</f>
        <v>571.56</v>
      </c>
      <c r="I68" s="41">
        <v>0.95</v>
      </c>
      <c r="J68" s="1">
        <f t="shared" si="1"/>
        <v>1085.9678</v>
      </c>
    </row>
    <row r="69" spans="1:10" s="40" customFormat="1" ht="58.5" customHeight="1">
      <c r="A69" s="43" t="s">
        <v>233</v>
      </c>
      <c r="B69" s="44" t="s">
        <v>151</v>
      </c>
      <c r="C69" s="45" t="s">
        <v>210</v>
      </c>
      <c r="D69" s="44" t="s">
        <v>27</v>
      </c>
      <c r="E69" s="61">
        <v>954.016</v>
      </c>
      <c r="F69" s="47">
        <v>15</v>
      </c>
      <c r="G69" s="47">
        <v>1</v>
      </c>
      <c r="H69" s="46">
        <f t="shared" si="2"/>
        <v>14310.24</v>
      </c>
      <c r="I69" s="41">
        <v>17.17</v>
      </c>
      <c r="J69" s="1">
        <f t="shared" si="1"/>
        <v>16380.454720000002</v>
      </c>
    </row>
    <row r="70" spans="1:10" s="40" customFormat="1" ht="82.5" customHeight="1" thickBot="1">
      <c r="A70" s="48" t="s">
        <v>150</v>
      </c>
      <c r="B70" s="49" t="s">
        <v>152</v>
      </c>
      <c r="C70" s="50" t="s">
        <v>211</v>
      </c>
      <c r="D70" s="49" t="s">
        <v>27</v>
      </c>
      <c r="E70" s="64">
        <f>E69</f>
        <v>954.016</v>
      </c>
      <c r="F70" s="51">
        <v>1</v>
      </c>
      <c r="G70" s="51">
        <v>5</v>
      </c>
      <c r="H70" s="52">
        <f t="shared" si="2"/>
        <v>4770.08</v>
      </c>
      <c r="I70" s="41">
        <v>4.77</v>
      </c>
      <c r="J70" s="1">
        <f>E70*I70*G70/5</f>
        <v>4550.656319999999</v>
      </c>
    </row>
    <row r="71" spans="1:10" s="40" customFormat="1" ht="45" customHeight="1" thickTop="1">
      <c r="A71" s="53" t="s">
        <v>98</v>
      </c>
      <c r="B71" s="54" t="s">
        <v>118</v>
      </c>
      <c r="C71" s="55" t="s">
        <v>212</v>
      </c>
      <c r="D71" s="54" t="s">
        <v>27</v>
      </c>
      <c r="E71" s="60">
        <v>865.276</v>
      </c>
      <c r="F71" s="56">
        <v>8</v>
      </c>
      <c r="G71" s="56">
        <v>1</v>
      </c>
      <c r="H71" s="57">
        <f t="shared" si="2"/>
        <v>6922.21</v>
      </c>
      <c r="I71" s="41">
        <v>10.61</v>
      </c>
      <c r="J71" s="1">
        <f t="shared" si="1"/>
        <v>9180.57836</v>
      </c>
    </row>
    <row r="72" spans="1:10" s="40" customFormat="1" ht="81" customHeight="1">
      <c r="A72" s="43" t="s">
        <v>99</v>
      </c>
      <c r="B72" s="44" t="s">
        <v>119</v>
      </c>
      <c r="C72" s="45" t="s">
        <v>213</v>
      </c>
      <c r="D72" s="44" t="s">
        <v>27</v>
      </c>
      <c r="E72" s="61">
        <f>E71</f>
        <v>865.276</v>
      </c>
      <c r="F72" s="47">
        <v>1</v>
      </c>
      <c r="G72" s="47">
        <v>7</v>
      </c>
      <c r="H72" s="46">
        <f t="shared" si="2"/>
        <v>6056.93</v>
      </c>
      <c r="I72" s="41">
        <v>6.67</v>
      </c>
      <c r="J72" s="1">
        <f>E72*I72*G72/7</f>
        <v>5771.39092</v>
      </c>
    </row>
    <row r="73" spans="1:10" s="40" customFormat="1" ht="45" customHeight="1">
      <c r="A73" s="43" t="s">
        <v>234</v>
      </c>
      <c r="B73" s="44" t="s">
        <v>133</v>
      </c>
      <c r="C73" s="45" t="s">
        <v>214</v>
      </c>
      <c r="D73" s="44" t="s">
        <v>27</v>
      </c>
      <c r="E73" s="61">
        <f>E71</f>
        <v>865.276</v>
      </c>
      <c r="F73" s="47">
        <v>0.4</v>
      </c>
      <c r="G73" s="47">
        <v>1</v>
      </c>
      <c r="H73" s="46">
        <f t="shared" si="2"/>
        <v>346.11</v>
      </c>
      <c r="I73" s="41">
        <v>1.09</v>
      </c>
      <c r="J73" s="1">
        <f t="shared" si="1"/>
        <v>943.15084</v>
      </c>
    </row>
    <row r="74" spans="1:10" s="40" customFormat="1" ht="34.5" customHeight="1">
      <c r="A74" s="43" t="s">
        <v>235</v>
      </c>
      <c r="B74" s="44" t="s">
        <v>129</v>
      </c>
      <c r="C74" s="45" t="s">
        <v>215</v>
      </c>
      <c r="D74" s="44" t="s">
        <v>27</v>
      </c>
      <c r="E74" s="61">
        <f>E71</f>
        <v>865.276</v>
      </c>
      <c r="F74" s="47">
        <v>1.2</v>
      </c>
      <c r="G74" s="47">
        <v>1</v>
      </c>
      <c r="H74" s="46">
        <f t="shared" si="2"/>
        <v>1038.33</v>
      </c>
      <c r="I74" s="41">
        <v>2.13</v>
      </c>
      <c r="J74" s="1">
        <f t="shared" si="1"/>
        <v>1843.0378799999999</v>
      </c>
    </row>
    <row r="75" spans="1:10" s="40" customFormat="1" ht="12.75">
      <c r="A75" s="131" t="s">
        <v>83</v>
      </c>
      <c r="B75" s="132"/>
      <c r="C75" s="132"/>
      <c r="D75" s="132"/>
      <c r="E75" s="132"/>
      <c r="F75" s="132"/>
      <c r="G75" s="132"/>
      <c r="H75" s="133"/>
      <c r="I75" s="41"/>
      <c r="J75" s="1">
        <f aca="true" t="shared" si="3" ref="J75:J95">E75*I75*G75</f>
        <v>0</v>
      </c>
    </row>
    <row r="76" spans="1:10" s="40" customFormat="1" ht="57.75" customHeight="1">
      <c r="A76" s="43" t="s">
        <v>236</v>
      </c>
      <c r="B76" s="44" t="s">
        <v>132</v>
      </c>
      <c r="C76" s="45" t="s">
        <v>216</v>
      </c>
      <c r="D76" s="44" t="s">
        <v>27</v>
      </c>
      <c r="E76" s="61">
        <f>E71</f>
        <v>865.276</v>
      </c>
      <c r="F76" s="47">
        <v>22</v>
      </c>
      <c r="G76" s="47">
        <v>1</v>
      </c>
      <c r="H76" s="46">
        <f t="shared" si="2"/>
        <v>19036.07</v>
      </c>
      <c r="I76" s="41">
        <v>18.96</v>
      </c>
      <c r="J76" s="1">
        <f t="shared" si="3"/>
        <v>16405.63296</v>
      </c>
    </row>
    <row r="77" spans="1:10" s="40" customFormat="1" ht="69.75" customHeight="1">
      <c r="A77" s="43" t="s">
        <v>237</v>
      </c>
      <c r="B77" s="44" t="s">
        <v>131</v>
      </c>
      <c r="C77" s="45" t="s">
        <v>217</v>
      </c>
      <c r="D77" s="44" t="s">
        <v>27</v>
      </c>
      <c r="E77" s="61">
        <f>E76</f>
        <v>865.276</v>
      </c>
      <c r="F77" s="47">
        <v>5.5</v>
      </c>
      <c r="G77" s="47">
        <v>2</v>
      </c>
      <c r="H77" s="46">
        <f t="shared" si="2"/>
        <v>9518.04</v>
      </c>
      <c r="I77" s="41">
        <v>9.45</v>
      </c>
      <c r="J77" s="1">
        <f>E77*I77*G77/2</f>
        <v>8176.858199999999</v>
      </c>
    </row>
    <row r="78" spans="1:10" s="40" customFormat="1" ht="46.5" customHeight="1">
      <c r="A78" s="43" t="s">
        <v>238</v>
      </c>
      <c r="B78" s="44" t="s">
        <v>130</v>
      </c>
      <c r="C78" s="45" t="s">
        <v>218</v>
      </c>
      <c r="D78" s="44" t="s">
        <v>27</v>
      </c>
      <c r="E78" s="61">
        <f>E77</f>
        <v>865.276</v>
      </c>
      <c r="F78" s="47">
        <v>0.4</v>
      </c>
      <c r="G78" s="47">
        <v>1</v>
      </c>
      <c r="H78" s="46">
        <f t="shared" si="2"/>
        <v>346.11</v>
      </c>
      <c r="I78" s="41">
        <v>0.39</v>
      </c>
      <c r="J78" s="1">
        <f t="shared" si="3"/>
        <v>337.45763999999997</v>
      </c>
    </row>
    <row r="79" spans="1:10" s="40" customFormat="1" ht="34.5" customHeight="1">
      <c r="A79" s="43" t="s">
        <v>239</v>
      </c>
      <c r="B79" s="44" t="s">
        <v>129</v>
      </c>
      <c r="C79" s="45" t="s">
        <v>215</v>
      </c>
      <c r="D79" s="44" t="s">
        <v>27</v>
      </c>
      <c r="E79" s="61">
        <f>E78</f>
        <v>865.276</v>
      </c>
      <c r="F79" s="47">
        <v>1</v>
      </c>
      <c r="G79" s="47">
        <v>1</v>
      </c>
      <c r="H79" s="46">
        <f t="shared" si="2"/>
        <v>865.28</v>
      </c>
      <c r="I79" s="41">
        <v>2.13</v>
      </c>
      <c r="J79" s="1">
        <f t="shared" si="3"/>
        <v>1843.0378799999999</v>
      </c>
    </row>
    <row r="80" spans="1:10" s="40" customFormat="1" ht="45.75" customHeight="1">
      <c r="A80" s="43" t="s">
        <v>100</v>
      </c>
      <c r="B80" s="44" t="s">
        <v>128</v>
      </c>
      <c r="C80" s="45" t="s">
        <v>219</v>
      </c>
      <c r="D80" s="44" t="s">
        <v>27</v>
      </c>
      <c r="E80" s="61">
        <f>E79</f>
        <v>865.276</v>
      </c>
      <c r="F80" s="47">
        <v>21.8</v>
      </c>
      <c r="G80" s="47">
        <v>1</v>
      </c>
      <c r="H80" s="46">
        <f t="shared" si="2"/>
        <v>18863.02</v>
      </c>
      <c r="I80" s="41">
        <v>16.39</v>
      </c>
      <c r="J80" s="1">
        <f t="shared" si="3"/>
        <v>14181.87364</v>
      </c>
    </row>
    <row r="81" spans="1:10" s="40" customFormat="1" ht="46.5" customHeight="1">
      <c r="A81" s="65" t="s">
        <v>101</v>
      </c>
      <c r="B81" s="66" t="s">
        <v>127</v>
      </c>
      <c r="C81" s="67" t="s">
        <v>220</v>
      </c>
      <c r="D81" s="66" t="s">
        <v>27</v>
      </c>
      <c r="E81" s="68">
        <f>E80</f>
        <v>865.276</v>
      </c>
      <c r="F81" s="69">
        <v>7.3</v>
      </c>
      <c r="G81" s="69">
        <v>1</v>
      </c>
      <c r="H81" s="70">
        <f t="shared" si="2"/>
        <v>6316.51</v>
      </c>
      <c r="I81" s="41">
        <v>5.44</v>
      </c>
      <c r="J81" s="1">
        <f t="shared" si="3"/>
        <v>4707.10144</v>
      </c>
    </row>
    <row r="82" spans="1:10" s="40" customFormat="1" ht="70.5" customHeight="1">
      <c r="A82" s="43" t="s">
        <v>95</v>
      </c>
      <c r="B82" s="44" t="s">
        <v>120</v>
      </c>
      <c r="C82" s="45" t="s">
        <v>221</v>
      </c>
      <c r="D82" s="44" t="s">
        <v>27</v>
      </c>
      <c r="E82" s="61">
        <v>87</v>
      </c>
      <c r="F82" s="47">
        <v>47</v>
      </c>
      <c r="G82" s="47">
        <v>1</v>
      </c>
      <c r="H82" s="46">
        <f t="shared" si="2"/>
        <v>4089</v>
      </c>
      <c r="I82" s="41">
        <v>64.59</v>
      </c>
      <c r="J82" s="1">
        <f t="shared" si="3"/>
        <v>5619.33</v>
      </c>
    </row>
    <row r="83" spans="1:10" s="40" customFormat="1" ht="70.5" customHeight="1">
      <c r="A83" s="43" t="s">
        <v>96</v>
      </c>
      <c r="B83" s="44" t="s">
        <v>157</v>
      </c>
      <c r="C83" s="45" t="s">
        <v>222</v>
      </c>
      <c r="D83" s="44" t="s">
        <v>27</v>
      </c>
      <c r="E83" s="61">
        <v>15</v>
      </c>
      <c r="F83" s="47">
        <v>20</v>
      </c>
      <c r="G83" s="47">
        <v>1</v>
      </c>
      <c r="H83" s="46">
        <f t="shared" si="2"/>
        <v>300</v>
      </c>
      <c r="I83" s="41">
        <v>33.22</v>
      </c>
      <c r="J83" s="1">
        <f t="shared" si="3"/>
        <v>498.29999999999995</v>
      </c>
    </row>
    <row r="84" spans="1:10" s="40" customFormat="1" ht="12.75">
      <c r="A84" s="131" t="s">
        <v>84</v>
      </c>
      <c r="B84" s="132"/>
      <c r="C84" s="132"/>
      <c r="D84" s="132"/>
      <c r="E84" s="132"/>
      <c r="F84" s="132"/>
      <c r="G84" s="132"/>
      <c r="H84" s="133"/>
      <c r="I84" s="41"/>
      <c r="J84" s="1">
        <f t="shared" si="3"/>
        <v>0</v>
      </c>
    </row>
    <row r="85" spans="1:10" s="40" customFormat="1" ht="35.25" customHeight="1">
      <c r="A85" s="43" t="s">
        <v>244</v>
      </c>
      <c r="B85" s="44" t="s">
        <v>121</v>
      </c>
      <c r="C85" s="45" t="s">
        <v>240</v>
      </c>
      <c r="D85" s="44" t="s">
        <v>28</v>
      </c>
      <c r="E85" s="61">
        <v>28.92</v>
      </c>
      <c r="F85" s="47">
        <v>240</v>
      </c>
      <c r="G85" s="47">
        <v>1</v>
      </c>
      <c r="H85" s="46">
        <f t="shared" si="2"/>
        <v>6940.8</v>
      </c>
      <c r="I85" s="41">
        <v>330.5</v>
      </c>
      <c r="J85" s="1">
        <f t="shared" si="3"/>
        <v>9558.060000000001</v>
      </c>
    </row>
    <row r="86" spans="1:10" s="40" customFormat="1" ht="58.5" customHeight="1">
      <c r="A86" s="43" t="s">
        <v>245</v>
      </c>
      <c r="B86" s="44" t="s">
        <v>126</v>
      </c>
      <c r="C86" s="45" t="s">
        <v>241</v>
      </c>
      <c r="D86" s="44" t="s">
        <v>1</v>
      </c>
      <c r="E86" s="61">
        <v>486</v>
      </c>
      <c r="F86" s="47">
        <v>28</v>
      </c>
      <c r="G86" s="47">
        <v>1</v>
      </c>
      <c r="H86" s="46">
        <f t="shared" si="2"/>
        <v>13608</v>
      </c>
      <c r="I86" s="41">
        <v>28.33</v>
      </c>
      <c r="J86" s="1">
        <f t="shared" si="3"/>
        <v>13768.38</v>
      </c>
    </row>
    <row r="87" spans="1:10" s="40" customFormat="1" ht="48.75" thickBot="1">
      <c r="A87" s="48" t="s">
        <v>246</v>
      </c>
      <c r="B87" s="49" t="s">
        <v>121</v>
      </c>
      <c r="C87" s="50" t="s">
        <v>242</v>
      </c>
      <c r="D87" s="49" t="s">
        <v>28</v>
      </c>
      <c r="E87" s="64">
        <v>2</v>
      </c>
      <c r="F87" s="51">
        <v>120</v>
      </c>
      <c r="G87" s="51">
        <v>1</v>
      </c>
      <c r="H87" s="52">
        <f t="shared" si="2"/>
        <v>240</v>
      </c>
      <c r="I87" s="41">
        <v>330.5</v>
      </c>
      <c r="J87" s="1">
        <f t="shared" si="3"/>
        <v>661</v>
      </c>
    </row>
    <row r="88" spans="1:10" s="40" customFormat="1" ht="58.5" customHeight="1" thickTop="1">
      <c r="A88" s="53" t="s">
        <v>247</v>
      </c>
      <c r="B88" s="54" t="s">
        <v>122</v>
      </c>
      <c r="C88" s="55" t="s">
        <v>243</v>
      </c>
      <c r="D88" s="54" t="s">
        <v>1</v>
      </c>
      <c r="E88" s="60">
        <v>40</v>
      </c>
      <c r="F88" s="56">
        <v>8</v>
      </c>
      <c r="G88" s="56">
        <v>1</v>
      </c>
      <c r="H88" s="57">
        <f t="shared" si="2"/>
        <v>320</v>
      </c>
      <c r="I88" s="41">
        <v>16.51</v>
      </c>
      <c r="J88" s="1">
        <f t="shared" si="3"/>
        <v>660.4000000000001</v>
      </c>
    </row>
    <row r="89" spans="1:10" s="40" customFormat="1" ht="12.75">
      <c r="A89" s="131" t="s">
        <v>85</v>
      </c>
      <c r="B89" s="132"/>
      <c r="C89" s="132"/>
      <c r="D89" s="132"/>
      <c r="E89" s="132"/>
      <c r="F89" s="132"/>
      <c r="G89" s="132"/>
      <c r="H89" s="133"/>
      <c r="I89" s="41"/>
      <c r="J89" s="1">
        <f t="shared" si="3"/>
        <v>0</v>
      </c>
    </row>
    <row r="90" spans="1:10" s="40" customFormat="1" ht="57.75" customHeight="1">
      <c r="A90" s="43" t="s">
        <v>252</v>
      </c>
      <c r="B90" s="44" t="s">
        <v>118</v>
      </c>
      <c r="C90" s="45" t="s">
        <v>248</v>
      </c>
      <c r="D90" s="44" t="s">
        <v>27</v>
      </c>
      <c r="E90" s="61">
        <v>202</v>
      </c>
      <c r="F90" s="47">
        <v>8</v>
      </c>
      <c r="G90" s="47">
        <v>1</v>
      </c>
      <c r="H90" s="46">
        <f t="shared" si="2"/>
        <v>1616</v>
      </c>
      <c r="I90" s="41">
        <v>10.61</v>
      </c>
      <c r="J90" s="1">
        <f t="shared" si="3"/>
        <v>2143.22</v>
      </c>
    </row>
    <row r="91" spans="1:10" s="40" customFormat="1" ht="81.75" customHeight="1">
      <c r="A91" s="43" t="s">
        <v>253</v>
      </c>
      <c r="B91" s="44" t="s">
        <v>119</v>
      </c>
      <c r="C91" s="45" t="s">
        <v>249</v>
      </c>
      <c r="D91" s="44" t="s">
        <v>27</v>
      </c>
      <c r="E91" s="61">
        <v>202</v>
      </c>
      <c r="F91" s="47">
        <v>1</v>
      </c>
      <c r="G91" s="47">
        <v>7</v>
      </c>
      <c r="H91" s="46">
        <f t="shared" si="2"/>
        <v>1414</v>
      </c>
      <c r="I91" s="41">
        <v>6.67</v>
      </c>
      <c r="J91" s="1">
        <f>E91*I91*G91/7</f>
        <v>1347.34</v>
      </c>
    </row>
    <row r="92" spans="1:10" s="40" customFormat="1" ht="46.5" customHeight="1">
      <c r="A92" s="43" t="s">
        <v>254</v>
      </c>
      <c r="B92" s="44" t="s">
        <v>125</v>
      </c>
      <c r="C92" s="45" t="s">
        <v>250</v>
      </c>
      <c r="D92" s="44" t="s">
        <v>27</v>
      </c>
      <c r="E92" s="61">
        <v>202</v>
      </c>
      <c r="F92" s="47">
        <v>3</v>
      </c>
      <c r="G92" s="47">
        <v>1</v>
      </c>
      <c r="H92" s="46">
        <f t="shared" si="2"/>
        <v>606</v>
      </c>
      <c r="I92" s="41">
        <v>4.91</v>
      </c>
      <c r="J92" s="1">
        <f t="shared" si="3"/>
        <v>991.82</v>
      </c>
    </row>
    <row r="93" spans="1:10" s="40" customFormat="1" ht="46.5" customHeight="1">
      <c r="A93" s="43" t="s">
        <v>255</v>
      </c>
      <c r="B93" s="44" t="s">
        <v>124</v>
      </c>
      <c r="C93" s="45" t="s">
        <v>251</v>
      </c>
      <c r="D93" s="44" t="s">
        <v>27</v>
      </c>
      <c r="E93" s="61">
        <v>202</v>
      </c>
      <c r="F93" s="47">
        <v>3</v>
      </c>
      <c r="G93" s="47">
        <v>1</v>
      </c>
      <c r="H93" s="46">
        <f>ROUND(E93*F93*G93,2)</f>
        <v>606</v>
      </c>
      <c r="I93" s="41">
        <v>3.17</v>
      </c>
      <c r="J93" s="1">
        <f t="shared" si="3"/>
        <v>640.34</v>
      </c>
    </row>
    <row r="94" spans="1:10" s="40" customFormat="1" ht="12.75" customHeight="1">
      <c r="A94" s="131" t="s">
        <v>97</v>
      </c>
      <c r="B94" s="132"/>
      <c r="C94" s="132"/>
      <c r="D94" s="132"/>
      <c r="E94" s="132"/>
      <c r="F94" s="132"/>
      <c r="G94" s="132"/>
      <c r="H94" s="133"/>
      <c r="I94" s="41"/>
      <c r="J94" s="1">
        <f t="shared" si="3"/>
        <v>0</v>
      </c>
    </row>
    <row r="95" spans="1:10" s="40" customFormat="1" ht="46.5" customHeight="1">
      <c r="A95" s="43" t="s">
        <v>256</v>
      </c>
      <c r="B95" s="44" t="s">
        <v>25</v>
      </c>
      <c r="C95" s="45" t="s">
        <v>123</v>
      </c>
      <c r="D95" s="44" t="s">
        <v>24</v>
      </c>
      <c r="E95" s="58">
        <v>1</v>
      </c>
      <c r="F95" s="47">
        <v>3000</v>
      </c>
      <c r="G95" s="47">
        <v>1</v>
      </c>
      <c r="H95" s="46">
        <f>ROUND(E95*F95*G95,2)</f>
        <v>3000</v>
      </c>
      <c r="I95" s="41">
        <v>1500</v>
      </c>
      <c r="J95" s="1">
        <f t="shared" si="3"/>
        <v>1500</v>
      </c>
    </row>
    <row r="96" spans="1:10" ht="13.5" thickBot="1">
      <c r="A96" s="80" t="s">
        <v>11</v>
      </c>
      <c r="B96" s="81"/>
      <c r="C96" s="81"/>
      <c r="D96" s="81"/>
      <c r="E96" s="81"/>
      <c r="F96" s="82"/>
      <c r="G96" s="17"/>
      <c r="H96" s="18">
        <f>H10+H11+H12+H13+H14+H15+H16+H17+H18+H19+H20+H21+H23+H24+H25+H26+H27+H28+H29+H30+H31+H32+H33+H36+H37+H38+H39+H40+H41+H42+H43+H44+H45+H46+H47+H48+H49+H50+H51+H52+H53+H54+H56+H57+H58+H59+H60+H61+H62+H64+H65+H67+H68+H69+H70+H71+H72+H73+H74+H76+H77+H78+H79+H80+H81+H82+H83+H85+H86+H87+H88+H90+H91+H92+H93+H95</f>
        <v>220430.84000000003</v>
      </c>
      <c r="I96" s="1"/>
      <c r="J96" s="1">
        <f>SUM(J10:J95)</f>
        <v>385373.4737300001</v>
      </c>
    </row>
    <row r="97" spans="1:9" ht="8.25" customHeight="1" thickTop="1">
      <c r="A97" s="12"/>
      <c r="B97" s="13"/>
      <c r="C97" s="14"/>
      <c r="D97" s="13"/>
      <c r="E97" s="15"/>
      <c r="F97" s="16"/>
      <c r="G97" s="16"/>
      <c r="H97" s="16"/>
      <c r="I97" s="1"/>
    </row>
    <row r="98" spans="1:10" ht="25.5" customHeight="1">
      <c r="A98" s="90" t="s">
        <v>12</v>
      </c>
      <c r="B98" s="90"/>
      <c r="C98" s="90"/>
      <c r="D98" s="90"/>
      <c r="E98" s="90"/>
      <c r="F98" s="90"/>
      <c r="G98" s="90"/>
      <c r="H98" s="90"/>
      <c r="I98" s="1"/>
      <c r="J98" s="1">
        <f>J96*1.23</f>
        <v>474009.3726879001</v>
      </c>
    </row>
    <row r="99" spans="1:9" ht="9.75" customHeight="1">
      <c r="A99" s="42"/>
      <c r="B99" s="42"/>
      <c r="C99" s="42"/>
      <c r="D99" s="42"/>
      <c r="E99" s="42"/>
      <c r="F99" s="42"/>
      <c r="G99" s="42"/>
      <c r="H99" s="42"/>
      <c r="I99" s="1"/>
    </row>
    <row r="100" spans="1:9" ht="25.5" customHeight="1">
      <c r="A100" s="105" t="s">
        <v>257</v>
      </c>
      <c r="B100" s="105"/>
      <c r="C100" s="105"/>
      <c r="D100" s="105"/>
      <c r="E100" s="105"/>
      <c r="F100" s="105"/>
      <c r="G100" s="105"/>
      <c r="H100" s="105"/>
      <c r="I100" s="1"/>
    </row>
    <row r="101" spans="1:9" ht="11.25" customHeight="1" thickBot="1">
      <c r="A101" s="12"/>
      <c r="B101" s="13"/>
      <c r="C101" s="14"/>
      <c r="D101" s="13"/>
      <c r="E101" s="15"/>
      <c r="F101" s="16"/>
      <c r="G101" s="16"/>
      <c r="H101" s="16"/>
      <c r="I101" s="1"/>
    </row>
    <row r="102" spans="1:9" ht="13.5" thickBot="1">
      <c r="A102" s="91" t="s">
        <v>13</v>
      </c>
      <c r="B102" s="92"/>
      <c r="C102" s="99"/>
      <c r="D102" s="100"/>
      <c r="E102" s="100"/>
      <c r="F102" s="100"/>
      <c r="G102" s="101"/>
      <c r="H102" s="2"/>
      <c r="I102" s="2"/>
    </row>
    <row r="103" spans="1:9" ht="13.5" thickBot="1">
      <c r="A103" s="19"/>
      <c r="B103" s="19"/>
      <c r="C103" s="102"/>
      <c r="D103" s="103"/>
      <c r="E103" s="103"/>
      <c r="F103" s="103"/>
      <c r="G103" s="104"/>
      <c r="H103" s="2"/>
      <c r="I103" s="2"/>
    </row>
    <row r="104" ht="9.75" customHeight="1" thickBot="1"/>
    <row r="105" spans="1:8" ht="20.25" customHeight="1">
      <c r="A105" s="21"/>
      <c r="B105" s="22"/>
      <c r="C105" s="23" t="s">
        <v>14</v>
      </c>
      <c r="D105" s="24"/>
      <c r="E105" s="25" t="s">
        <v>15</v>
      </c>
      <c r="F105" s="22"/>
      <c r="G105" s="22"/>
      <c r="H105" s="26"/>
    </row>
    <row r="106" spans="1:8" ht="8.25" customHeight="1">
      <c r="A106" s="27"/>
      <c r="B106" s="28"/>
      <c r="C106" s="29"/>
      <c r="D106" s="30"/>
      <c r="E106" s="31"/>
      <c r="F106" s="28"/>
      <c r="G106" s="28"/>
      <c r="H106" s="32"/>
    </row>
    <row r="107" spans="1:8" ht="12.75">
      <c r="A107" s="27"/>
      <c r="B107" s="28"/>
      <c r="C107" s="33" t="s">
        <v>16</v>
      </c>
      <c r="D107" s="30"/>
      <c r="E107" s="31"/>
      <c r="F107" s="28"/>
      <c r="G107" s="28"/>
      <c r="H107" s="32"/>
    </row>
    <row r="108" spans="1:8" ht="18.75" customHeight="1">
      <c r="A108" s="27"/>
      <c r="B108" s="28"/>
      <c r="C108" s="33" t="s">
        <v>17</v>
      </c>
      <c r="D108" s="34"/>
      <c r="E108" s="83" t="s">
        <v>18</v>
      </c>
      <c r="F108" s="83"/>
      <c r="G108" s="83"/>
      <c r="H108" s="84"/>
    </row>
    <row r="109" spans="1:8" ht="21" customHeight="1">
      <c r="A109" s="27"/>
      <c r="B109" s="28"/>
      <c r="C109" s="33" t="s">
        <v>19</v>
      </c>
      <c r="D109" s="34"/>
      <c r="E109" s="83" t="s">
        <v>20</v>
      </c>
      <c r="F109" s="83"/>
      <c r="G109" s="83"/>
      <c r="H109" s="84"/>
    </row>
    <row r="110" spans="1:8" ht="21" customHeight="1">
      <c r="A110" s="27"/>
      <c r="B110" s="28"/>
      <c r="C110" s="33" t="s">
        <v>21</v>
      </c>
      <c r="D110" s="34"/>
      <c r="E110" s="85" t="s">
        <v>22</v>
      </c>
      <c r="F110" s="85"/>
      <c r="G110" s="85"/>
      <c r="H110" s="86"/>
    </row>
    <row r="111" spans="1:8" ht="3.75" customHeight="1" thickBot="1">
      <c r="A111" s="35"/>
      <c r="B111" s="36"/>
      <c r="C111" s="37"/>
      <c r="D111" s="38"/>
      <c r="E111" s="38"/>
      <c r="F111" s="36"/>
      <c r="G111" s="36"/>
      <c r="H111" s="39"/>
    </row>
  </sheetData>
  <sheetProtection/>
  <mergeCells count="23">
    <mergeCell ref="A102:B102"/>
    <mergeCell ref="C102:G103"/>
    <mergeCell ref="E108:H108"/>
    <mergeCell ref="E109:H109"/>
    <mergeCell ref="E110:H110"/>
    <mergeCell ref="A84:H84"/>
    <mergeCell ref="A89:H89"/>
    <mergeCell ref="A94:H94"/>
    <mergeCell ref="A96:F96"/>
    <mergeCell ref="A98:H98"/>
    <mergeCell ref="A100:H100"/>
    <mergeCell ref="A34:H34"/>
    <mergeCell ref="A35:H35"/>
    <mergeCell ref="A55:H55"/>
    <mergeCell ref="A63:H63"/>
    <mergeCell ref="A66:H66"/>
    <mergeCell ref="A75:H75"/>
    <mergeCell ref="A2:H2"/>
    <mergeCell ref="A3:H4"/>
    <mergeCell ref="A7:H7"/>
    <mergeCell ref="A8:H8"/>
    <mergeCell ref="A9:H9"/>
    <mergeCell ref="A22:H22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2017-03-23T12:53:24Z</cp:lastPrinted>
  <dcterms:created xsi:type="dcterms:W3CDTF">1997-02-26T13:46:56Z</dcterms:created>
  <dcterms:modified xsi:type="dcterms:W3CDTF">2017-03-31T11:26:52Z</dcterms:modified>
  <cp:category/>
  <cp:version/>
  <cp:contentType/>
  <cp:contentStatus/>
</cp:coreProperties>
</file>